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Hoja1" sheetId="1" r:id="rId1"/>
    <sheet name="Hoja2" sheetId="2" r:id="rId2"/>
    <sheet name="Hoja3" sheetId="3" r:id="rId3"/>
  </sheets>
  <externalReferences>
    <externalReference r:id="rId4"/>
    <externalReference r:id="rId5"/>
  </externalReferences>
  <definedNames>
    <definedName name="TarifaElectricidad">'[1]Tarifas Eléctricas'!$A$7:$A$10</definedName>
    <definedName name="TarifaGas">'[1]Tarifas Gas Natural'!$A$7:$A$10</definedName>
  </definedNames>
  <calcPr calcId="145621" calcMode="autoNoTable"/>
</workbook>
</file>

<file path=xl/calcChain.xml><?xml version="1.0" encoding="utf-8"?>
<calcChain xmlns="http://schemas.openxmlformats.org/spreadsheetml/2006/main">
  <c r="G64" i="1" l="1"/>
  <c r="H64" i="1" s="1"/>
  <c r="K74" i="1" s="1"/>
  <c r="E73" i="1"/>
  <c r="H73" i="1" s="1"/>
  <c r="E70" i="1"/>
  <c r="H70" i="1" s="1"/>
  <c r="E22" i="1"/>
  <c r="H22" i="1" s="1"/>
  <c r="E16" i="1"/>
  <c r="E26" i="1"/>
  <c r="H26" i="1" s="1"/>
  <c r="K71" i="1" l="1"/>
  <c r="L71" i="1" s="1"/>
  <c r="K73" i="1"/>
  <c r="L73" i="1" s="1"/>
  <c r="K72" i="1"/>
  <c r="L72" i="1" s="1"/>
  <c r="L74" i="1"/>
  <c r="H16" i="1"/>
  <c r="I96" i="1" l="1"/>
  <c r="I95" i="1"/>
  <c r="I94" i="1"/>
  <c r="I93" i="1"/>
  <c r="G6" i="1" l="1"/>
  <c r="H6" i="1" s="1"/>
  <c r="E43" i="1"/>
  <c r="H43" i="1" s="1"/>
  <c r="E34" i="1"/>
  <c r="H34" i="1" s="1"/>
  <c r="E14" i="1"/>
  <c r="H14" i="1" s="1"/>
  <c r="E12" i="1"/>
  <c r="H12" i="1" s="1"/>
  <c r="E10" i="1"/>
  <c r="H10" i="1" s="1"/>
  <c r="K18" i="1" l="1"/>
  <c r="L18" i="1" s="1"/>
  <c r="K22" i="1"/>
  <c r="L22" i="1" s="1"/>
  <c r="K19" i="1"/>
  <c r="L19" i="1" s="1"/>
  <c r="K23" i="1"/>
  <c r="L23" i="1" s="1"/>
  <c r="K16" i="1"/>
  <c r="L16" i="1" s="1"/>
  <c r="K20" i="1"/>
  <c r="L20" i="1" s="1"/>
  <c r="K24" i="1"/>
  <c r="L24" i="1" s="1"/>
  <c r="K17" i="1"/>
  <c r="L17" i="1" s="1"/>
  <c r="K21" i="1"/>
  <c r="L21" i="1" s="1"/>
  <c r="I6" i="1"/>
  <c r="K38" i="1" l="1"/>
  <c r="L38" i="1" s="1"/>
  <c r="K10" i="1"/>
  <c r="L10" i="1" s="1"/>
  <c r="K47" i="1"/>
  <c r="L47" i="1" s="1"/>
  <c r="K36" i="1"/>
  <c r="L36" i="1" s="1"/>
  <c r="K39" i="1"/>
  <c r="L39" i="1" s="1"/>
  <c r="K43" i="1"/>
  <c r="L43" i="1" s="1"/>
  <c r="K37" i="1"/>
  <c r="L37" i="1" s="1"/>
  <c r="K34" i="1"/>
  <c r="L34" i="1" s="1"/>
  <c r="K45" i="1"/>
  <c r="L45" i="1" s="1"/>
  <c r="K41" i="1"/>
  <c r="L41" i="1" s="1"/>
  <c r="K35" i="1"/>
  <c r="L35" i="1" s="1"/>
  <c r="K46" i="1"/>
  <c r="L46" i="1" s="1"/>
  <c r="K44" i="1"/>
  <c r="L44" i="1" s="1"/>
  <c r="K40" i="1"/>
  <c r="L40" i="1" s="1"/>
  <c r="K14" i="1"/>
  <c r="L14" i="1" s="1"/>
  <c r="K12" i="1"/>
  <c r="L12" i="1" s="1"/>
  <c r="K26" i="1"/>
  <c r="L26" i="1" s="1"/>
  <c r="K28" i="1"/>
  <c r="L28" i="1" s="1"/>
  <c r="K29" i="1"/>
  <c r="L29" i="1" s="1"/>
  <c r="K31" i="1"/>
  <c r="L31" i="1" s="1"/>
  <c r="K32" i="1"/>
  <c r="L32" i="1" s="1"/>
  <c r="K27" i="1"/>
  <c r="L27" i="1" s="1"/>
  <c r="K30" i="1"/>
  <c r="L30" i="1" s="1"/>
</calcChain>
</file>

<file path=xl/comments1.xml><?xml version="1.0" encoding="utf-8"?>
<comments xmlns="http://schemas.openxmlformats.org/spreadsheetml/2006/main">
  <authors>
    <author>Alicia Mimbacas</author>
  </authors>
  <commentList>
    <comment ref="E6" authorId="0">
      <text>
        <r>
          <rPr>
            <b/>
            <sz val="9"/>
            <color indexed="81"/>
            <rFont val="Tahoma"/>
            <family val="2"/>
          </rPr>
          <t>Alicia Mimbacas:</t>
        </r>
        <r>
          <rPr>
            <sz val="9"/>
            <color indexed="81"/>
            <rFont val="Tahoma"/>
            <family val="2"/>
          </rPr>
          <t xml:space="preserve">
Demanda Calef EDEE</t>
        </r>
      </text>
    </comment>
    <comment ref="E64" authorId="0">
      <text>
        <r>
          <rPr>
            <b/>
            <sz val="9"/>
            <color indexed="81"/>
            <rFont val="Tahoma"/>
            <family val="2"/>
          </rPr>
          <t>Alicia Mimbacas:</t>
        </r>
        <r>
          <rPr>
            <sz val="9"/>
            <color indexed="81"/>
            <rFont val="Tahoma"/>
            <family val="2"/>
          </rPr>
          <t xml:space="preserve">
Demanda Refrigeración  EDEE</t>
        </r>
      </text>
    </comment>
  </commentList>
</comments>
</file>

<file path=xl/sharedStrings.xml><?xml version="1.0" encoding="utf-8"?>
<sst xmlns="http://schemas.openxmlformats.org/spreadsheetml/2006/main" count="121" uniqueCount="81">
  <si>
    <t>Planilla de Cálculo</t>
  </si>
  <si>
    <t>Costo unitario de los requerimientos de calefacción en función del energético y el tipo de tecnología de calefacción a utilizar</t>
  </si>
  <si>
    <t>Energético</t>
  </si>
  <si>
    <t>Tipo de Tarifa</t>
  </si>
  <si>
    <t>Unidad del Energético</t>
  </si>
  <si>
    <r>
      <t xml:space="preserve">Costo del Energ. por Unidad ($) </t>
    </r>
    <r>
      <rPr>
        <b/>
        <vertAlign val="superscript"/>
        <sz val="11"/>
        <rFont val="Calibri"/>
        <family val="2"/>
      </rPr>
      <t>1</t>
    </r>
  </si>
  <si>
    <r>
      <t xml:space="preserve">Costo del Energ. por Unidad 2 ($) </t>
    </r>
    <r>
      <rPr>
        <b/>
        <vertAlign val="superscript"/>
        <sz val="11"/>
        <rFont val="Calibri"/>
        <family val="2"/>
      </rPr>
      <t>1</t>
    </r>
  </si>
  <si>
    <r>
      <t xml:space="preserve">Contenido Calórico (kcal) por Unidad </t>
    </r>
    <r>
      <rPr>
        <b/>
        <vertAlign val="superscript"/>
        <sz val="11"/>
        <rFont val="Calibri"/>
        <family val="2"/>
      </rPr>
      <t>2</t>
    </r>
  </si>
  <si>
    <t>Precio del Energético 
$ / 1.000 kcal</t>
  </si>
  <si>
    <t>Tecnología de Calefacción</t>
  </si>
  <si>
    <t>Rendimiento  Aprox. (%)</t>
  </si>
  <si>
    <t>Consumo de unidades de energético</t>
  </si>
  <si>
    <t>Fuel Oil Mediano</t>
  </si>
  <si>
    <t>-</t>
  </si>
  <si>
    <t>Litro</t>
  </si>
  <si>
    <t>Equipo central con Caldera</t>
  </si>
  <si>
    <t>Gas Oil</t>
  </si>
  <si>
    <t>Queroseno</t>
  </si>
  <si>
    <t xml:space="preserve">Estufa </t>
  </si>
  <si>
    <t>Electricidad</t>
  </si>
  <si>
    <t>KiloWatt-hora</t>
  </si>
  <si>
    <t>Estufa a cuarzo</t>
  </si>
  <si>
    <t/>
  </si>
  <si>
    <t>Panel radiante</t>
  </si>
  <si>
    <t>Convector</t>
  </si>
  <si>
    <t>Caloventilador</t>
  </si>
  <si>
    <t>Radiador de aceite</t>
  </si>
  <si>
    <t>Residencial Doble Horario (4)</t>
  </si>
  <si>
    <t>Losa Radiante</t>
  </si>
  <si>
    <t>Acumuladores</t>
  </si>
  <si>
    <t>Equipo central con caldera eléctrica</t>
  </si>
  <si>
    <t>Gas Natural</t>
  </si>
  <si>
    <t>Montevideo Gas - Bienestar Natural (6)</t>
  </si>
  <si>
    <t>m3</t>
  </si>
  <si>
    <t>Equipo central con Caldera atmosférica</t>
  </si>
  <si>
    <t>Equipo central con Caldera estanca</t>
  </si>
  <si>
    <t>Equipo central con Caldera de condensación</t>
  </si>
  <si>
    <t>Calefactor sin ventilación</t>
  </si>
  <si>
    <t>Calefactor de tiro natural</t>
  </si>
  <si>
    <t>Calefactor de tiro balanceado</t>
  </si>
  <si>
    <t>Pantalla</t>
  </si>
  <si>
    <t>Supergas</t>
  </si>
  <si>
    <t>kg</t>
  </si>
  <si>
    <t>Estufa con garrafa de 13kg</t>
  </si>
  <si>
    <t>Leña</t>
  </si>
  <si>
    <t>Equipo Central con caldera a leña</t>
  </si>
  <si>
    <t>Estufa de doble combustión c/caldera</t>
  </si>
  <si>
    <t>Estufa de doble combustión</t>
  </si>
  <si>
    <t>Salamandra / Quematutti</t>
  </si>
  <si>
    <t>Estufa abierta</t>
  </si>
  <si>
    <t>NOTAS:</t>
  </si>
  <si>
    <t xml:space="preserve">1  No incluye costos fijos de contratación de los servicios. Solamente considerea el costo variable del servicio contratado. En el caso de equipos de gran potencia de energía eléctrica se prorratea el costo fijo asociado por concepto de potencia contratada. </t>
  </si>
  <si>
    <t>2  Fuente Poderes Caloríficos Inferiores: DNETN Balance Energético 2008</t>
  </si>
  <si>
    <t>3  Tarifa Residencial Simple: el costo por kWh asume, mitad del consumo mensual en el rango de 101 a 600 kWh, y mitad por encima de 601 kWh /mes.</t>
  </si>
  <si>
    <t>4  Tarifa Residencial Doble Horario: el costo variable del kWh asume que el 65% del consumo se realiza fuera del horario de punta y un 35% en el horario de punta. En el caso de equipos acumuladores se incluye en el CV el costo de la potencia contartada.</t>
  </si>
  <si>
    <t>5  Se considera que el consumo supera la facturación mínima.</t>
  </si>
  <si>
    <t xml:space="preserve">6  Se sume un consumo mensual mayor a 16,7 m3. </t>
  </si>
  <si>
    <t xml:space="preserve">Demanda de Calefacción </t>
  </si>
  <si>
    <t>m2</t>
  </si>
  <si>
    <t>kWh</t>
  </si>
  <si>
    <t>kWh/m2 año</t>
  </si>
  <si>
    <t>kWh año</t>
  </si>
  <si>
    <t>kcal</t>
  </si>
  <si>
    <t>Btu</t>
  </si>
  <si>
    <t>kW</t>
  </si>
  <si>
    <t>9000 Btu</t>
  </si>
  <si>
    <t>12000 Btu</t>
  </si>
  <si>
    <t>18000 Btu</t>
  </si>
  <si>
    <t>24000 Btu</t>
  </si>
  <si>
    <t>Conversiónes</t>
  </si>
  <si>
    <t>Costo mensual de calefacción ($)</t>
  </si>
  <si>
    <t>kWh mes</t>
  </si>
  <si>
    <t>Residencial Simple (3)</t>
  </si>
  <si>
    <t>kcal mes</t>
  </si>
  <si>
    <t>Costo unitario de los requerimientos derefrigeración en función del energético y el tipo de tecnología de refrigeración a utilizar</t>
  </si>
  <si>
    <t>Demanda de Refrigeración</t>
  </si>
  <si>
    <t>Datos EDEE</t>
  </si>
  <si>
    <t>Aire Acondicionado Split A (modo calor)</t>
  </si>
  <si>
    <t>Aire Acondicionado Split A</t>
  </si>
  <si>
    <t>Aire Acondicionado Split G</t>
  </si>
  <si>
    <t>Aire Acondicionado SplitG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</si>
</sst>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quot;$&quot;#,##0.00;[Red]&quot;$&quot;#,##0.00"/>
    <numFmt numFmtId="166" formatCode="[$$-2C0A]\ #,##0"/>
    <numFmt numFmtId="167" formatCode="&quot;$&quot;#,##0.000"/>
    <numFmt numFmtId="168" formatCode="#,##0.0"/>
  </numFmts>
  <fonts count="13" x14ac:knownFonts="1">
    <font>
      <sz val="11"/>
      <color theme="1"/>
      <name val="Calibri"/>
      <family val="2"/>
      <scheme val="minor"/>
    </font>
    <font>
      <b/>
      <sz val="14"/>
      <color indexed="8"/>
      <name val="Calibri"/>
      <family val="2"/>
    </font>
    <font>
      <sz val="10"/>
      <name val="Arial"/>
      <family val="2"/>
    </font>
    <font>
      <b/>
      <sz val="11"/>
      <name val="Calibri"/>
      <family val="2"/>
    </font>
    <font>
      <b/>
      <vertAlign val="superscript"/>
      <sz val="11"/>
      <name val="Calibri"/>
      <family val="2"/>
    </font>
    <font>
      <sz val="11"/>
      <name val="Calibri"/>
      <family val="2"/>
    </font>
    <font>
      <u/>
      <sz val="10"/>
      <color indexed="12"/>
      <name val="Arial"/>
      <family val="2"/>
    </font>
    <font>
      <u/>
      <sz val="11"/>
      <color indexed="48"/>
      <name val="Calibri"/>
      <family val="2"/>
    </font>
    <font>
      <i/>
      <sz val="11"/>
      <name val="Calibri"/>
      <family val="2"/>
    </font>
    <font>
      <b/>
      <sz val="12"/>
      <color indexed="8"/>
      <name val="Calibri"/>
      <family val="2"/>
    </font>
    <font>
      <sz val="9"/>
      <color indexed="81"/>
      <name val="Tahoma"/>
      <family val="2"/>
    </font>
    <font>
      <b/>
      <sz val="9"/>
      <color indexed="81"/>
      <name val="Tahoma"/>
      <family val="2"/>
    </font>
    <font>
      <b/>
      <sz val="11"/>
      <color theme="1"/>
      <name val="Calibri"/>
      <family val="2"/>
      <scheme val="minor"/>
    </font>
  </fonts>
  <fills count="7">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theme="6" tint="0.79998168889431442"/>
        <bgColor indexed="64"/>
      </patternFill>
    </fill>
    <fill>
      <patternFill patternType="solid">
        <fgColor theme="8" tint="0.59999389629810485"/>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0"/>
      </left>
      <right/>
      <top style="thin">
        <color indexed="0"/>
      </top>
      <bottom style="thin">
        <color indexed="0"/>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xf numFmtId="0" fontId="2" fillId="0" borderId="0"/>
    <xf numFmtId="0" fontId="6" fillId="0" borderId="0" applyNumberFormat="0" applyFill="0" applyBorder="0" applyAlignment="0" applyProtection="0">
      <alignment vertical="top"/>
      <protection locked="0"/>
    </xf>
  </cellStyleXfs>
  <cellXfs count="98">
    <xf numFmtId="0" fontId="0" fillId="0" borderId="0" xfId="0"/>
    <xf numFmtId="0" fontId="1" fillId="0" borderId="0" xfId="0" applyFont="1" applyFill="1" applyProtection="1"/>
    <xf numFmtId="0" fontId="0" fillId="0" borderId="0" xfId="0" applyFont="1" applyFill="1" applyProtection="1"/>
    <xf numFmtId="0" fontId="3" fillId="2" borderId="1"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0" borderId="6" xfId="1" applyFont="1" applyFill="1" applyBorder="1" applyProtection="1"/>
    <xf numFmtId="0" fontId="5" fillId="0" borderId="9" xfId="1" applyFont="1" applyFill="1" applyBorder="1" applyAlignment="1" applyProtection="1">
      <alignment horizontal="left"/>
    </xf>
    <xf numFmtId="164" fontId="5" fillId="0" borderId="9" xfId="1" applyNumberFormat="1" applyFont="1" applyFill="1" applyBorder="1" applyAlignment="1" applyProtection="1">
      <alignment horizontal="right" vertical="center"/>
    </xf>
    <xf numFmtId="3" fontId="5" fillId="0" borderId="9" xfId="1" applyNumberFormat="1" applyFont="1" applyFill="1" applyBorder="1" applyProtection="1"/>
    <xf numFmtId="165" fontId="5" fillId="0" borderId="10" xfId="0" applyNumberFormat="1" applyFont="1" applyFill="1" applyBorder="1" applyAlignment="1" applyProtection="1"/>
    <xf numFmtId="9" fontId="5" fillId="0" borderId="7" xfId="1" applyNumberFormat="1" applyFont="1" applyFill="1" applyBorder="1" applyProtection="1"/>
    <xf numFmtId="3" fontId="5" fillId="0" borderId="9" xfId="2" applyNumberFormat="1" applyFont="1" applyFill="1" applyBorder="1" applyAlignment="1" applyProtection="1">
      <alignment horizontal="center"/>
    </xf>
    <xf numFmtId="166" fontId="5" fillId="0" borderId="11" xfId="2" applyNumberFormat="1" applyFont="1" applyFill="1" applyBorder="1" applyAlignment="1" applyProtection="1">
      <alignment horizontal="center"/>
    </xf>
    <xf numFmtId="0" fontId="5" fillId="3" borderId="12" xfId="1" applyFont="1" applyFill="1" applyBorder="1" applyProtection="1"/>
    <xf numFmtId="0" fontId="5" fillId="3" borderId="13" xfId="1" applyFont="1" applyFill="1" applyBorder="1" applyProtection="1"/>
    <xf numFmtId="0" fontId="5" fillId="3" borderId="13" xfId="1" applyFont="1" applyFill="1" applyBorder="1" applyAlignment="1" applyProtection="1">
      <alignment horizontal="center"/>
    </xf>
    <xf numFmtId="3" fontId="5" fillId="3" borderId="13" xfId="1" applyNumberFormat="1" applyFont="1" applyFill="1" applyBorder="1" applyProtection="1"/>
    <xf numFmtId="9" fontId="5" fillId="3" borderId="13" xfId="1" quotePrefix="1" applyNumberFormat="1" applyFont="1" applyFill="1" applyBorder="1" applyProtection="1"/>
    <xf numFmtId="3" fontId="5" fillId="3" borderId="13" xfId="1" quotePrefix="1" applyNumberFormat="1" applyFont="1" applyFill="1" applyBorder="1" applyProtection="1"/>
    <xf numFmtId="3" fontId="7" fillId="3" borderId="14" xfId="2" applyNumberFormat="1" applyFont="1" applyFill="1" applyBorder="1" applyAlignment="1" applyProtection="1">
      <alignment horizontal="center"/>
    </xf>
    <xf numFmtId="0" fontId="3" fillId="0" borderId="12" xfId="1" applyFont="1" applyFill="1" applyBorder="1" applyProtection="1"/>
    <xf numFmtId="9" fontId="5" fillId="0" borderId="15" xfId="1" applyNumberFormat="1" applyFont="1" applyFill="1" applyBorder="1" applyProtection="1"/>
    <xf numFmtId="0" fontId="5" fillId="0" borderId="16" xfId="1" applyFont="1" applyFill="1" applyBorder="1" applyProtection="1"/>
    <xf numFmtId="0" fontId="5" fillId="0" borderId="0" xfId="1" applyFont="1" applyFill="1" applyBorder="1" applyProtection="1"/>
    <xf numFmtId="0" fontId="5" fillId="0" borderId="0" xfId="1" applyFont="1" applyFill="1" applyBorder="1" applyAlignment="1" applyProtection="1">
      <alignment horizontal="left"/>
    </xf>
    <xf numFmtId="167" fontId="5" fillId="0" borderId="0" xfId="1" quotePrefix="1" applyNumberFormat="1" applyFont="1" applyFill="1" applyBorder="1" applyAlignment="1" applyProtection="1">
      <alignment horizontal="right" vertical="center"/>
    </xf>
    <xf numFmtId="3" fontId="5" fillId="0" borderId="0" xfId="1" applyNumberFormat="1" applyFont="1" applyFill="1" applyBorder="1" applyProtection="1"/>
    <xf numFmtId="165" fontId="5" fillId="0" borderId="0" xfId="1" quotePrefix="1" applyNumberFormat="1" applyFont="1" applyFill="1" applyBorder="1" applyProtection="1"/>
    <xf numFmtId="167" fontId="5" fillId="0" borderId="0" xfId="1" applyNumberFormat="1" applyFont="1" applyFill="1" applyBorder="1" applyAlignment="1" applyProtection="1">
      <alignment horizontal="right" vertical="center"/>
    </xf>
    <xf numFmtId="168" fontId="5" fillId="0" borderId="0" xfId="1" applyNumberFormat="1" applyFont="1" applyFill="1" applyBorder="1" applyProtection="1"/>
    <xf numFmtId="3" fontId="5" fillId="0" borderId="17" xfId="1" applyNumberFormat="1" applyFont="1" applyFill="1" applyBorder="1" applyProtection="1"/>
    <xf numFmtId="9" fontId="5" fillId="0" borderId="9" xfId="1" quotePrefix="1" applyNumberFormat="1" applyFont="1" applyFill="1" applyBorder="1" applyProtection="1"/>
    <xf numFmtId="165" fontId="5" fillId="0" borderId="9" xfId="0" applyNumberFormat="1" applyFont="1" applyFill="1" applyBorder="1" applyAlignment="1" applyProtection="1"/>
    <xf numFmtId="9" fontId="5" fillId="0" borderId="9" xfId="1" applyNumberFormat="1" applyFont="1" applyFill="1" applyBorder="1" applyProtection="1"/>
    <xf numFmtId="0" fontId="3" fillId="0" borderId="16" xfId="1" applyFont="1" applyFill="1" applyBorder="1" applyProtection="1"/>
    <xf numFmtId="0" fontId="0" fillId="0" borderId="0" xfId="0" applyBorder="1"/>
    <xf numFmtId="164" fontId="5" fillId="0" borderId="0" xfId="1" applyNumberFormat="1" applyFont="1" applyFill="1" applyBorder="1" applyAlignment="1" applyProtection="1">
      <alignment horizontal="right" vertical="center"/>
    </xf>
    <xf numFmtId="165" fontId="5" fillId="0" borderId="0" xfId="0" applyNumberFormat="1" applyFont="1" applyFill="1" applyBorder="1" applyAlignment="1" applyProtection="1"/>
    <xf numFmtId="0" fontId="0" fillId="0" borderId="16" xfId="0" applyFont="1" applyFill="1" applyBorder="1" applyProtection="1"/>
    <xf numFmtId="0" fontId="0" fillId="0" borderId="0" xfId="0" applyFont="1" applyFill="1" applyBorder="1" applyProtection="1"/>
    <xf numFmtId="0" fontId="5" fillId="0" borderId="8" xfId="1" applyFont="1" applyFill="1" applyBorder="1" applyAlignment="1" applyProtection="1">
      <alignment horizontal="left"/>
    </xf>
    <xf numFmtId="165" fontId="5" fillId="0" borderId="18" xfId="0" applyNumberFormat="1" applyFont="1" applyFill="1" applyBorder="1" applyAlignment="1" applyProtection="1"/>
    <xf numFmtId="0" fontId="3" fillId="0" borderId="0" xfId="1" applyFont="1" applyFill="1" applyBorder="1" applyAlignment="1" applyProtection="1">
      <alignment horizontal="center"/>
    </xf>
    <xf numFmtId="3" fontId="5" fillId="0" borderId="17" xfId="0" applyNumberFormat="1" applyFont="1" applyFill="1" applyBorder="1" applyProtection="1"/>
    <xf numFmtId="9" fontId="5" fillId="0" borderId="17" xfId="0" applyNumberFormat="1" applyFont="1" applyFill="1" applyBorder="1" applyProtection="1"/>
    <xf numFmtId="0" fontId="3" fillId="0" borderId="19" xfId="1" applyFont="1" applyFill="1" applyBorder="1" applyProtection="1"/>
    <xf numFmtId="0" fontId="5" fillId="0" borderId="20" xfId="1" applyFont="1" applyFill="1" applyBorder="1" applyAlignment="1" applyProtection="1">
      <alignment horizontal="left"/>
    </xf>
    <xf numFmtId="164" fontId="5" fillId="0" borderId="15" xfId="1" applyNumberFormat="1" applyFont="1" applyFill="1" applyBorder="1" applyAlignment="1" applyProtection="1">
      <alignment horizontal="right" vertical="center"/>
      <protection locked="0"/>
    </xf>
    <xf numFmtId="3" fontId="5" fillId="0" borderId="15" xfId="1" applyNumberFormat="1" applyFont="1" applyFill="1" applyBorder="1" applyProtection="1"/>
    <xf numFmtId="164" fontId="5" fillId="0" borderId="0" xfId="1" applyNumberFormat="1" applyFont="1" applyFill="1" applyBorder="1" applyAlignment="1" applyProtection="1">
      <alignment horizontal="right" vertical="center"/>
      <protection locked="0"/>
    </xf>
    <xf numFmtId="3" fontId="5" fillId="0" borderId="9" xfId="0" applyNumberFormat="1" applyFont="1" applyFill="1" applyBorder="1" applyProtection="1"/>
    <xf numFmtId="0" fontId="0" fillId="0" borderId="19" xfId="0" applyFont="1" applyFill="1" applyBorder="1" applyProtection="1"/>
    <xf numFmtId="0" fontId="0" fillId="0" borderId="21" xfId="0" applyFont="1" applyFill="1" applyBorder="1" applyProtection="1"/>
    <xf numFmtId="0" fontId="5" fillId="3" borderId="22" xfId="1" applyFont="1" applyFill="1" applyBorder="1" applyProtection="1"/>
    <xf numFmtId="0" fontId="5" fillId="3" borderId="23" xfId="1" applyFont="1" applyFill="1" applyBorder="1" applyProtection="1"/>
    <xf numFmtId="3" fontId="5" fillId="3" borderId="23" xfId="1" applyNumberFormat="1" applyFont="1" applyFill="1" applyBorder="1" applyProtection="1"/>
    <xf numFmtId="9" fontId="5" fillId="3" borderId="23" xfId="1" quotePrefix="1" applyNumberFormat="1" applyFont="1" applyFill="1" applyBorder="1" applyProtection="1"/>
    <xf numFmtId="165" fontId="5" fillId="3" borderId="23" xfId="1" quotePrefix="1" applyNumberFormat="1" applyFont="1" applyFill="1" applyBorder="1" applyProtection="1"/>
    <xf numFmtId="3" fontId="7" fillId="3" borderId="24" xfId="2" applyNumberFormat="1" applyFont="1" applyFill="1" applyBorder="1" applyAlignment="1" applyProtection="1">
      <alignment horizontal="left"/>
    </xf>
    <xf numFmtId="0" fontId="9" fillId="0" borderId="0" xfId="0" applyFont="1" applyFill="1" applyProtection="1"/>
    <xf numFmtId="0" fontId="0" fillId="0" borderId="0" xfId="0" applyFill="1" applyProtection="1"/>
    <xf numFmtId="0" fontId="0" fillId="0" borderId="0" xfId="0" applyFill="1" applyAlignment="1" applyProtection="1">
      <alignment wrapText="1"/>
    </xf>
    <xf numFmtId="0" fontId="0" fillId="5" borderId="0" xfId="0" applyFill="1"/>
    <xf numFmtId="0" fontId="0" fillId="5" borderId="9" xfId="0" applyFill="1" applyBorder="1" applyAlignment="1">
      <alignment horizontal="center"/>
    </xf>
    <xf numFmtId="0" fontId="0" fillId="5" borderId="9" xfId="0" applyFill="1" applyBorder="1"/>
    <xf numFmtId="2" fontId="0" fillId="5" borderId="9" xfId="0" applyNumberFormat="1" applyFill="1" applyBorder="1" applyAlignment="1">
      <alignment horizontal="left"/>
    </xf>
    <xf numFmtId="0" fontId="0" fillId="0" borderId="0" xfId="0" applyFill="1"/>
    <xf numFmtId="0" fontId="0" fillId="0" borderId="0" xfId="0" applyFill="1" applyAlignment="1">
      <alignment horizontal="center" vertical="center"/>
    </xf>
    <xf numFmtId="0" fontId="12" fillId="5" borderId="29" xfId="0" applyFont="1" applyFill="1" applyBorder="1"/>
    <xf numFmtId="0" fontId="12" fillId="5" borderId="29" xfId="0" applyFont="1" applyFill="1" applyBorder="1" applyAlignment="1">
      <alignment horizontal="center"/>
    </xf>
    <xf numFmtId="0" fontId="12" fillId="5" borderId="26" xfId="0" applyFont="1" applyFill="1" applyBorder="1"/>
    <xf numFmtId="0" fontId="12" fillId="5" borderId="30" xfId="0" applyFont="1" applyFill="1" applyBorder="1"/>
    <xf numFmtId="0" fontId="12" fillId="6" borderId="30" xfId="0" applyFont="1" applyFill="1" applyBorder="1"/>
    <xf numFmtId="0" fontId="12" fillId="5" borderId="28" xfId="0" applyFont="1" applyFill="1" applyBorder="1"/>
    <xf numFmtId="0" fontId="12" fillId="6" borderId="0" xfId="0" applyFont="1" applyFill="1" applyBorder="1"/>
    <xf numFmtId="0" fontId="0" fillId="5" borderId="29" xfId="0" applyFill="1" applyBorder="1"/>
    <xf numFmtId="0" fontId="0" fillId="5" borderId="29" xfId="0" applyFill="1" applyBorder="1" applyAlignment="1">
      <alignment horizontal="center"/>
    </xf>
    <xf numFmtId="0" fontId="0" fillId="5" borderId="26" xfId="0" applyFill="1" applyBorder="1"/>
    <xf numFmtId="0" fontId="0" fillId="5" borderId="30" xfId="0" applyFill="1" applyBorder="1"/>
    <xf numFmtId="0" fontId="0" fillId="6" borderId="30" xfId="0" applyFill="1" applyBorder="1"/>
    <xf numFmtId="0" fontId="0" fillId="5" borderId="28" xfId="0" applyFill="1" applyBorder="1"/>
    <xf numFmtId="0" fontId="12" fillId="5" borderId="25"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0" xfId="0" applyFont="1" applyFill="1" applyBorder="1" applyAlignment="1">
      <alignment horizontal="center" vertical="center"/>
    </xf>
    <xf numFmtId="0" fontId="8" fillId="4" borderId="7" xfId="1" applyFont="1" applyFill="1" applyBorder="1" applyAlignment="1" applyProtection="1">
      <alignment horizontal="left"/>
      <protection locked="0"/>
    </xf>
    <xf numFmtId="0" fontId="8" fillId="4" borderId="8" xfId="1" applyFont="1" applyFill="1" applyBorder="1" applyAlignment="1" applyProtection="1">
      <alignment horizontal="left"/>
      <protection locked="0"/>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0" borderId="13" xfId="1" applyFont="1" applyFill="1" applyBorder="1" applyAlignment="1" applyProtection="1">
      <alignment horizontal="center"/>
    </xf>
    <xf numFmtId="0" fontId="3" fillId="0" borderId="8" xfId="1" applyFont="1" applyFill="1" applyBorder="1" applyAlignment="1" applyProtection="1">
      <alignment horizont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7" xfId="0" applyFill="1" applyBorder="1" applyAlignment="1">
      <alignment horizontal="center" vertical="center"/>
    </xf>
    <xf numFmtId="0" fontId="0" fillId="5" borderId="30" xfId="0" applyFill="1" applyBorder="1" applyAlignment="1">
      <alignment horizontal="center" vertical="center"/>
    </xf>
    <xf numFmtId="0" fontId="3" fillId="0" borderId="7" xfId="1" applyFont="1" applyFill="1" applyBorder="1" applyAlignment="1" applyProtection="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DAEE-Compartido\Edificaciones\TDR_CONVENIOS\EDEE\calculos-de%20consum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imbacas\Downloads\calculos-avanzados%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calefaccion"/>
      <sheetName val="costos cal. agua y cocción"/>
      <sheetName val="Tarifas Eléctricas"/>
      <sheetName val="Tarifas Gas Natural"/>
      <sheetName val="Tarifas Comb"/>
      <sheetName val="Estima consumo calefaccion"/>
      <sheetName val="Estima cal. de agua y cocción"/>
    </sheetNames>
    <sheetDataSet>
      <sheetData sheetId="0"/>
      <sheetData sheetId="1"/>
      <sheetData sheetId="2">
        <row r="7">
          <cell r="A7" t="str">
            <v>Seleccionar Tarifa</v>
          </cell>
        </row>
        <row r="8">
          <cell r="A8" t="str">
            <v>Residencial Simple (3)</v>
          </cell>
        </row>
        <row r="9">
          <cell r="A9"/>
        </row>
        <row r="10">
          <cell r="A10" t="str">
            <v>Residencial Doble Horario (4)</v>
          </cell>
        </row>
      </sheetData>
      <sheetData sheetId="3">
        <row r="7">
          <cell r="A7" t="str">
            <v>Seleccionar Tarifa</v>
          </cell>
          <cell r="B7" t="str">
            <v/>
          </cell>
        </row>
        <row r="8">
          <cell r="A8" t="str">
            <v>Conecta Norte - Residencial (R ) (5)</v>
          </cell>
          <cell r="B8">
            <v>32.850339999999996</v>
          </cell>
        </row>
        <row r="9">
          <cell r="A9" t="str">
            <v>Conecta Sur - Residencial (R ) (5)</v>
          </cell>
          <cell r="B9">
            <v>32.111260000000001</v>
          </cell>
        </row>
        <row r="10">
          <cell r="A10" t="str">
            <v>Montevideo Gas - Bienestar Natural (6)</v>
          </cell>
          <cell r="B10">
            <v>32.6</v>
          </cell>
        </row>
      </sheetData>
      <sheetData sheetId="4">
        <row r="4">
          <cell r="D4">
            <v>20.47</v>
          </cell>
        </row>
        <row r="5">
          <cell r="D5">
            <v>37.700000000000003</v>
          </cell>
        </row>
        <row r="7">
          <cell r="D7">
            <v>33</v>
          </cell>
        </row>
        <row r="8">
          <cell r="D8">
            <v>29.1</v>
          </cell>
        </row>
        <row r="10">
          <cell r="D10">
            <v>3</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calefaccion"/>
      <sheetName val="costos cal. agua y cocción"/>
      <sheetName val="Tarifas Eléctricas"/>
      <sheetName val="Tarifas Gas Natural"/>
      <sheetName val="Tarifas Comb"/>
      <sheetName val="Estima consumo calefaccion"/>
      <sheetName val="Estima cal. de agua y cocción"/>
    </sheetNames>
    <sheetDataSet>
      <sheetData sheetId="0"/>
      <sheetData sheetId="1"/>
      <sheetData sheetId="2">
        <row r="7">
          <cell r="A7" t="str">
            <v>Seleccionar Tarifa</v>
          </cell>
          <cell r="B7" t="str">
            <v/>
          </cell>
        </row>
        <row r="8">
          <cell r="A8" t="str">
            <v>Residencial Simple (3)</v>
          </cell>
          <cell r="B8">
            <v>7.2358199999999995</v>
          </cell>
        </row>
        <row r="9">
          <cell r="A9"/>
          <cell r="B9">
            <v>9.0194599999999987</v>
          </cell>
        </row>
        <row r="10">
          <cell r="A10" t="str">
            <v>Residencial Doble Horario (4)</v>
          </cell>
          <cell r="B10">
            <v>5.8852190000000002</v>
          </cell>
        </row>
        <row r="13">
          <cell r="A13" t="str">
            <v>Seleccionar Tarifa</v>
          </cell>
          <cell r="B13" t="str">
            <v/>
          </cell>
        </row>
        <row r="14">
          <cell r="A14" t="str">
            <v>Residencial Simple (3)</v>
          </cell>
          <cell r="B14"/>
        </row>
        <row r="15">
          <cell r="A15" t="str">
            <v>Residencial Doble Horario (4)</v>
          </cell>
          <cell r="B15">
            <v>3.86252</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96"/>
  <sheetViews>
    <sheetView tabSelected="1" topLeftCell="A10" workbookViewId="0">
      <selection activeCell="N78" sqref="N78"/>
    </sheetView>
  </sheetViews>
  <sheetFormatPr baseColWidth="10" defaultRowHeight="15" x14ac:dyDescent="0.25"/>
  <cols>
    <col min="1" max="1" width="10.42578125" customWidth="1"/>
    <col min="5" max="5" width="12.5703125" customWidth="1"/>
    <col min="6" max="6" width="13.85546875" customWidth="1"/>
    <col min="9" max="9" width="28.28515625" customWidth="1"/>
    <col min="10" max="10" width="12.5703125" customWidth="1"/>
    <col min="11" max="11" width="14.85546875" customWidth="1"/>
    <col min="12" max="12" width="15.140625" bestFit="1" customWidth="1"/>
  </cols>
  <sheetData>
    <row r="2" spans="1:12" ht="18.75" x14ac:dyDescent="0.3">
      <c r="A2" s="1" t="s">
        <v>0</v>
      </c>
      <c r="B2" s="2"/>
      <c r="C2" s="2"/>
      <c r="D2" s="2"/>
      <c r="E2" s="2"/>
      <c r="F2" s="2"/>
      <c r="G2" s="2"/>
      <c r="H2" s="2"/>
      <c r="I2" s="2"/>
      <c r="J2" s="2"/>
      <c r="K2" s="2"/>
    </row>
    <row r="3" spans="1:12" ht="18.75" x14ac:dyDescent="0.3">
      <c r="A3" s="1" t="s">
        <v>1</v>
      </c>
      <c r="B3" s="2"/>
      <c r="C3" s="2"/>
      <c r="D3" s="2"/>
      <c r="E3" s="2"/>
      <c r="F3" s="2"/>
      <c r="G3" s="2"/>
      <c r="H3" s="2"/>
      <c r="I3" s="2"/>
      <c r="J3" s="2"/>
    </row>
    <row r="4" spans="1:12" ht="19.5" thickBot="1" x14ac:dyDescent="0.35">
      <c r="A4" s="1"/>
      <c r="B4" s="2"/>
      <c r="C4" s="2"/>
      <c r="D4" s="2"/>
      <c r="E4" s="2"/>
      <c r="F4" s="2"/>
      <c r="G4" s="2"/>
      <c r="H4" s="2"/>
      <c r="I4" s="2"/>
      <c r="J4" s="2"/>
    </row>
    <row r="5" spans="1:12" x14ac:dyDescent="0.25">
      <c r="B5" s="93" t="s">
        <v>57</v>
      </c>
      <c r="C5" s="94"/>
      <c r="D5" s="77"/>
      <c r="E5" s="77" t="s">
        <v>60</v>
      </c>
      <c r="F5" s="78" t="s">
        <v>58</v>
      </c>
      <c r="G5" s="77" t="s">
        <v>61</v>
      </c>
      <c r="H5" s="77" t="s">
        <v>71</v>
      </c>
      <c r="I5" s="79" t="s">
        <v>73</v>
      </c>
      <c r="K5" s="76"/>
      <c r="L5" t="s">
        <v>76</v>
      </c>
    </row>
    <row r="6" spans="1:12" ht="15.75" thickBot="1" x14ac:dyDescent="0.3">
      <c r="B6" s="95"/>
      <c r="C6" s="96"/>
      <c r="D6" s="80"/>
      <c r="E6" s="81">
        <v>30</v>
      </c>
      <c r="F6" s="81">
        <v>55</v>
      </c>
      <c r="G6" s="80">
        <f>E6*F6</f>
        <v>1650</v>
      </c>
      <c r="H6" s="80">
        <f>G6/4</f>
        <v>412.5</v>
      </c>
      <c r="I6" s="82">
        <f>H6*F93</f>
        <v>354337.5</v>
      </c>
    </row>
    <row r="7" spans="1:12" ht="18.75" x14ac:dyDescent="0.3">
      <c r="A7" s="1"/>
      <c r="B7" s="2"/>
      <c r="C7" s="2"/>
      <c r="D7" s="2"/>
      <c r="E7" s="2"/>
      <c r="F7" s="2"/>
      <c r="G7" s="2"/>
      <c r="H7" s="2"/>
      <c r="I7" s="2"/>
      <c r="J7" s="2"/>
    </row>
    <row r="8" spans="1:12" ht="15.75" thickBot="1" x14ac:dyDescent="0.3">
      <c r="A8" s="2"/>
      <c r="B8" s="2"/>
      <c r="C8" s="2"/>
      <c r="D8" s="2"/>
      <c r="E8" s="2"/>
      <c r="F8" s="2"/>
      <c r="G8" s="2"/>
      <c r="H8" s="2"/>
      <c r="I8" s="2"/>
      <c r="J8" s="2"/>
      <c r="K8" s="2"/>
    </row>
    <row r="9" spans="1:12" ht="62.25" x14ac:dyDescent="0.25">
      <c r="A9" s="3" t="s">
        <v>2</v>
      </c>
      <c r="B9" s="89" t="s">
        <v>3</v>
      </c>
      <c r="C9" s="90"/>
      <c r="D9" s="4" t="s">
        <v>4</v>
      </c>
      <c r="E9" s="4" t="s">
        <v>5</v>
      </c>
      <c r="F9" s="4" t="s">
        <v>6</v>
      </c>
      <c r="G9" s="4" t="s">
        <v>7</v>
      </c>
      <c r="H9" s="4" t="s">
        <v>8</v>
      </c>
      <c r="I9" s="5" t="s">
        <v>9</v>
      </c>
      <c r="J9" s="4" t="s">
        <v>10</v>
      </c>
      <c r="K9" s="4" t="s">
        <v>11</v>
      </c>
      <c r="L9" s="6" t="s">
        <v>70</v>
      </c>
    </row>
    <row r="10" spans="1:12" x14ac:dyDescent="0.25">
      <c r="A10" s="7" t="s">
        <v>12</v>
      </c>
      <c r="B10" s="97" t="s">
        <v>13</v>
      </c>
      <c r="C10" s="92"/>
      <c r="D10" s="8" t="s">
        <v>14</v>
      </c>
      <c r="E10" s="9">
        <f>'[1]Tarifas Comb'!$D$4</f>
        <v>20.47</v>
      </c>
      <c r="F10" s="9"/>
      <c r="G10" s="10">
        <v>9467</v>
      </c>
      <c r="H10" s="11">
        <f>+(E10/G10)*1000</f>
        <v>2.1622478081757683</v>
      </c>
      <c r="I10" s="10" t="s">
        <v>15</v>
      </c>
      <c r="J10" s="12">
        <v>0.6</v>
      </c>
      <c r="K10" s="13">
        <f>$I$6/(G10*J10)</f>
        <v>62.381166156121267</v>
      </c>
      <c r="L10" s="14">
        <f>K10*E10</f>
        <v>1276.9424712158022</v>
      </c>
    </row>
    <row r="11" spans="1:12" x14ac:dyDescent="0.25">
      <c r="A11" s="15"/>
      <c r="B11" s="16"/>
      <c r="C11" s="17"/>
      <c r="D11" s="16"/>
      <c r="E11" s="16"/>
      <c r="F11" s="16"/>
      <c r="G11" s="16"/>
      <c r="H11" s="16"/>
      <c r="I11" s="18"/>
      <c r="J11" s="19"/>
      <c r="K11" s="20"/>
      <c r="L11" s="21"/>
    </row>
    <row r="12" spans="1:12" x14ac:dyDescent="0.25">
      <c r="A12" s="7" t="s">
        <v>16</v>
      </c>
      <c r="B12" s="97" t="s">
        <v>13</v>
      </c>
      <c r="C12" s="92"/>
      <c r="D12" s="8" t="s">
        <v>14</v>
      </c>
      <c r="E12" s="9">
        <f>'[1]Tarifas Comb'!$D$5</f>
        <v>37.700000000000003</v>
      </c>
      <c r="F12" s="9"/>
      <c r="G12" s="10">
        <v>8594</v>
      </c>
      <c r="H12" s="11">
        <f>+(E12/G12)*1000</f>
        <v>4.3867814754479877</v>
      </c>
      <c r="I12" s="10" t="s">
        <v>15</v>
      </c>
      <c r="J12" s="12">
        <v>0.7</v>
      </c>
      <c r="K12" s="13">
        <f>$I$6/(G12*J12)</f>
        <v>58.901143655041729</v>
      </c>
      <c r="L12" s="14">
        <f>K12*E12</f>
        <v>2220.5731157950731</v>
      </c>
    </row>
    <row r="13" spans="1:12" x14ac:dyDescent="0.25">
      <c r="A13" s="15"/>
      <c r="B13" s="16"/>
      <c r="C13" s="17"/>
      <c r="D13" s="16"/>
      <c r="E13" s="16"/>
      <c r="F13" s="16"/>
      <c r="G13" s="16"/>
      <c r="H13" s="16"/>
      <c r="I13" s="18"/>
      <c r="J13" s="19"/>
      <c r="K13" s="20"/>
      <c r="L13" s="21"/>
    </row>
    <row r="14" spans="1:12" x14ac:dyDescent="0.25">
      <c r="A14" s="7" t="s">
        <v>17</v>
      </c>
      <c r="B14" s="97" t="s">
        <v>13</v>
      </c>
      <c r="C14" s="92"/>
      <c r="D14" s="8" t="s">
        <v>14</v>
      </c>
      <c r="E14" s="9">
        <f>'[1]Tarifas Comb'!$D$8</f>
        <v>29.1</v>
      </c>
      <c r="F14" s="9"/>
      <c r="G14" s="10">
        <v>8324</v>
      </c>
      <c r="H14" s="11">
        <f>+(E14/G14)*1000</f>
        <v>3.4959154252763094</v>
      </c>
      <c r="I14" s="10" t="s">
        <v>18</v>
      </c>
      <c r="J14" s="12">
        <v>0.4</v>
      </c>
      <c r="K14" s="13">
        <f>$I$6/(G14*J14)</f>
        <v>106.42044089380104</v>
      </c>
      <c r="L14" s="14">
        <f>K14*E14</f>
        <v>3096.8348300096104</v>
      </c>
    </row>
    <row r="15" spans="1:12" x14ac:dyDescent="0.25">
      <c r="A15" s="15"/>
      <c r="B15" s="16"/>
      <c r="C15" s="16"/>
      <c r="D15" s="16"/>
      <c r="E15" s="16"/>
      <c r="F15" s="16"/>
      <c r="G15" s="16"/>
      <c r="H15" s="16"/>
      <c r="I15" s="18"/>
      <c r="J15" s="19"/>
      <c r="K15" s="20"/>
      <c r="L15" s="21"/>
    </row>
    <row r="16" spans="1:12" x14ac:dyDescent="0.25">
      <c r="A16" s="22" t="s">
        <v>19</v>
      </c>
      <c r="B16" s="87" t="s">
        <v>72</v>
      </c>
      <c r="C16" s="88"/>
      <c r="D16" s="8" t="s">
        <v>20</v>
      </c>
      <c r="E16" s="9">
        <f>VLOOKUP(B16,'[2]Tarifas Eléctricas'!$A$7:$B$10,2,FALSE)</f>
        <v>7.2358199999999995</v>
      </c>
      <c r="F16" s="9">
        <v>9.02</v>
      </c>
      <c r="G16" s="10">
        <v>860</v>
      </c>
      <c r="H16" s="11">
        <f>IF(E16=$A$3,$A$3,+(E16/G16)*1000)</f>
        <v>8.413744186046511</v>
      </c>
      <c r="I16" s="10" t="s">
        <v>21</v>
      </c>
      <c r="J16" s="23">
        <v>1</v>
      </c>
      <c r="K16" s="13">
        <f t="shared" ref="K16:K24" si="0">$H$6/(J16)</f>
        <v>412.5</v>
      </c>
      <c r="L16" s="14">
        <f t="shared" ref="L16:L21" si="1">IF(AND($B$16="Residencial Simple (3)",K16&gt;300),300*$E$16+(K16-300)*$F$16,K16*$E$16)</f>
        <v>3185.4959999999996</v>
      </c>
    </row>
    <row r="17" spans="1:12" x14ac:dyDescent="0.25">
      <c r="A17" s="24"/>
      <c r="B17" s="25"/>
      <c r="C17" s="25"/>
      <c r="D17" s="26"/>
      <c r="E17" s="27" t="s">
        <v>22</v>
      </c>
      <c r="F17" s="27"/>
      <c r="G17" s="28"/>
      <c r="H17" s="29"/>
      <c r="I17" s="10" t="s">
        <v>23</v>
      </c>
      <c r="J17" s="23">
        <v>1</v>
      </c>
      <c r="K17" s="13">
        <f t="shared" si="0"/>
        <v>412.5</v>
      </c>
      <c r="L17" s="14">
        <f t="shared" si="1"/>
        <v>3185.4959999999996</v>
      </c>
    </row>
    <row r="18" spans="1:12" x14ac:dyDescent="0.25">
      <c r="A18" s="24"/>
      <c r="B18" s="25"/>
      <c r="C18" s="25"/>
      <c r="D18" s="26"/>
      <c r="E18" s="30"/>
      <c r="F18" s="30"/>
      <c r="G18" s="31"/>
      <c r="H18" s="29"/>
      <c r="I18" s="10" t="s">
        <v>24</v>
      </c>
      <c r="J18" s="23">
        <v>0.95</v>
      </c>
      <c r="K18" s="13">
        <f t="shared" si="0"/>
        <v>434.21052631578948</v>
      </c>
      <c r="L18" s="14">
        <f t="shared" si="1"/>
        <v>3381.3249473684209</v>
      </c>
    </row>
    <row r="19" spans="1:12" x14ac:dyDescent="0.25">
      <c r="A19" s="24"/>
      <c r="B19" s="25"/>
      <c r="C19" s="25"/>
      <c r="D19" s="26"/>
      <c r="E19" s="30"/>
      <c r="F19" s="30"/>
      <c r="G19" s="28"/>
      <c r="H19" s="29"/>
      <c r="I19" s="10" t="s">
        <v>25</v>
      </c>
      <c r="J19" s="23">
        <v>0.85</v>
      </c>
      <c r="K19" s="13">
        <f t="shared" si="0"/>
        <v>485.29411764705884</v>
      </c>
      <c r="L19" s="14">
        <f t="shared" si="1"/>
        <v>3842.0989411764704</v>
      </c>
    </row>
    <row r="20" spans="1:12" x14ac:dyDescent="0.25">
      <c r="A20" s="24"/>
      <c r="B20" s="25"/>
      <c r="C20" s="25"/>
      <c r="D20" s="26"/>
      <c r="E20" s="30"/>
      <c r="F20" s="30"/>
      <c r="G20" s="28"/>
      <c r="H20" s="29"/>
      <c r="I20" s="32" t="s">
        <v>26</v>
      </c>
      <c r="J20" s="23">
        <v>0.9</v>
      </c>
      <c r="K20" s="13">
        <f t="shared" si="0"/>
        <v>458.33333333333331</v>
      </c>
      <c r="L20" s="14">
        <f t="shared" si="1"/>
        <v>3598.9126666666662</v>
      </c>
    </row>
    <row r="21" spans="1:12" x14ac:dyDescent="0.25">
      <c r="A21" s="24"/>
      <c r="B21" s="25"/>
      <c r="C21" s="25"/>
      <c r="D21" s="25"/>
      <c r="E21" s="25"/>
      <c r="F21" s="25"/>
      <c r="G21" s="25"/>
      <c r="H21" s="25"/>
      <c r="I21" s="32" t="s">
        <v>77</v>
      </c>
      <c r="J21" s="33">
        <v>3.6</v>
      </c>
      <c r="K21" s="13">
        <f t="shared" si="0"/>
        <v>114.58333333333333</v>
      </c>
      <c r="L21" s="14">
        <f t="shared" si="1"/>
        <v>829.10437499999989</v>
      </c>
    </row>
    <row r="22" spans="1:12" x14ac:dyDescent="0.25">
      <c r="A22" s="22" t="s">
        <v>19</v>
      </c>
      <c r="B22" s="87" t="s">
        <v>27</v>
      </c>
      <c r="C22" s="88"/>
      <c r="D22" s="8" t="s">
        <v>20</v>
      </c>
      <c r="E22" s="9">
        <f>VLOOKUP(B22,'[2]Tarifas Eléctricas'!$A$13:$B$15,2,FALSE)</f>
        <v>3.86252</v>
      </c>
      <c r="F22" s="9"/>
      <c r="G22" s="10">
        <v>860</v>
      </c>
      <c r="H22" s="11">
        <f>IF(E22=$A$3,$A$3,+(E22/G22)*1000)</f>
        <v>4.4913023255813949</v>
      </c>
      <c r="I22" s="10" t="s">
        <v>28</v>
      </c>
      <c r="J22" s="23">
        <v>0.95</v>
      </c>
      <c r="K22" s="13">
        <f t="shared" si="0"/>
        <v>434.21052631578948</v>
      </c>
      <c r="L22" s="14">
        <f>$E$22*K22</f>
        <v>1677.1468421052632</v>
      </c>
    </row>
    <row r="23" spans="1:12" x14ac:dyDescent="0.25">
      <c r="A23" s="24"/>
      <c r="B23" s="25"/>
      <c r="C23" s="25"/>
      <c r="D23" s="25"/>
      <c r="E23" s="25"/>
      <c r="F23" s="25"/>
      <c r="G23" s="25"/>
      <c r="H23" s="25"/>
      <c r="I23" s="10" t="s">
        <v>29</v>
      </c>
      <c r="J23" s="23">
        <v>0.95</v>
      </c>
      <c r="K23" s="13">
        <f t="shared" si="0"/>
        <v>434.21052631578948</v>
      </c>
      <c r="L23" s="14">
        <f t="shared" ref="L23:L24" si="2">$E$22*K23</f>
        <v>1677.1468421052632</v>
      </c>
    </row>
    <row r="24" spans="1:12" x14ac:dyDescent="0.25">
      <c r="A24" s="24"/>
      <c r="B24" s="25"/>
      <c r="C24" s="25"/>
      <c r="D24" s="25"/>
      <c r="E24" s="25"/>
      <c r="F24" s="25"/>
      <c r="G24" s="25"/>
      <c r="H24" s="25"/>
      <c r="I24" s="10" t="s">
        <v>30</v>
      </c>
      <c r="J24" s="23">
        <v>0.95</v>
      </c>
      <c r="K24" s="13">
        <f t="shared" si="0"/>
        <v>434.21052631578948</v>
      </c>
      <c r="L24" s="14">
        <f t="shared" si="2"/>
        <v>1677.1468421052632</v>
      </c>
    </row>
    <row r="25" spans="1:12" x14ac:dyDescent="0.25">
      <c r="A25" s="15"/>
      <c r="B25" s="16"/>
      <c r="C25" s="16"/>
      <c r="D25" s="16"/>
      <c r="E25" s="16"/>
      <c r="F25" s="16"/>
      <c r="G25" s="16"/>
      <c r="H25" s="16"/>
      <c r="I25" s="18"/>
      <c r="J25" s="19"/>
      <c r="K25" s="20"/>
      <c r="L25" s="21"/>
    </row>
    <row r="26" spans="1:12" x14ac:dyDescent="0.25">
      <c r="A26" s="7" t="s">
        <v>31</v>
      </c>
      <c r="B26" s="87" t="s">
        <v>32</v>
      </c>
      <c r="C26" s="88"/>
      <c r="D26" s="8" t="s">
        <v>33</v>
      </c>
      <c r="E26" s="9">
        <f>VLOOKUP(B26,'[1]Tarifas Gas Natural'!$A$7:$B$10,2,FALSE)</f>
        <v>32.6</v>
      </c>
      <c r="F26" s="9"/>
      <c r="G26" s="10">
        <v>8300</v>
      </c>
      <c r="H26" s="34">
        <f>IF(E26=$A$8,$A$8,+(E26/G26)*1000)</f>
        <v>3.9277108433734944</v>
      </c>
      <c r="I26" s="10" t="s">
        <v>34</v>
      </c>
      <c r="J26" s="35">
        <v>0.85</v>
      </c>
      <c r="K26" s="13">
        <f t="shared" ref="K26:K32" si="3">$I$6/($H$26*J26)</f>
        <v>106135.01443522194</v>
      </c>
      <c r="L26" s="14">
        <f>K26*$E$26</f>
        <v>3460001.4705882352</v>
      </c>
    </row>
    <row r="27" spans="1:12" x14ac:dyDescent="0.25">
      <c r="A27" s="36"/>
      <c r="B27" s="37"/>
      <c r="C27" s="37"/>
      <c r="D27" s="26"/>
      <c r="E27" s="38"/>
      <c r="F27" s="38"/>
      <c r="G27" s="28"/>
      <c r="H27" s="39"/>
      <c r="I27" s="10" t="s">
        <v>35</v>
      </c>
      <c r="J27" s="35">
        <v>0.9</v>
      </c>
      <c r="K27" s="13">
        <f t="shared" si="3"/>
        <v>100238.62474437627</v>
      </c>
      <c r="L27" s="14">
        <f t="shared" ref="L27:L32" si="4">K27*$E$26</f>
        <v>3267779.1666666665</v>
      </c>
    </row>
    <row r="28" spans="1:12" x14ac:dyDescent="0.25">
      <c r="A28" s="40"/>
      <c r="B28" s="41"/>
      <c r="C28" s="41"/>
      <c r="D28" s="41"/>
      <c r="E28" s="41"/>
      <c r="F28" s="41"/>
      <c r="G28" s="41"/>
      <c r="H28" s="41"/>
      <c r="I28" s="10" t="s">
        <v>36</v>
      </c>
      <c r="J28" s="35">
        <v>1</v>
      </c>
      <c r="K28" s="13">
        <f t="shared" si="3"/>
        <v>90214.762269938641</v>
      </c>
      <c r="L28" s="14">
        <f t="shared" si="4"/>
        <v>2941001.25</v>
      </c>
    </row>
    <row r="29" spans="1:12" x14ac:dyDescent="0.25">
      <c r="A29" s="40"/>
      <c r="B29" s="41"/>
      <c r="C29" s="41"/>
      <c r="D29" s="41"/>
      <c r="E29" s="41"/>
      <c r="F29" s="41"/>
      <c r="G29" s="41"/>
      <c r="H29" s="41"/>
      <c r="I29" s="10" t="s">
        <v>37</v>
      </c>
      <c r="J29" s="35">
        <v>0.8</v>
      </c>
      <c r="K29" s="13">
        <f t="shared" si="3"/>
        <v>112768.45283742329</v>
      </c>
      <c r="L29" s="14">
        <f t="shared" si="4"/>
        <v>3676251.5624999995</v>
      </c>
    </row>
    <row r="30" spans="1:12" x14ac:dyDescent="0.25">
      <c r="A30" s="40"/>
      <c r="B30" s="41"/>
      <c r="C30" s="41"/>
      <c r="D30" s="41"/>
      <c r="E30" s="41"/>
      <c r="F30" s="41"/>
      <c r="G30" s="41"/>
      <c r="H30" s="41"/>
      <c r="I30" s="10" t="s">
        <v>38</v>
      </c>
      <c r="J30" s="35">
        <v>0.8</v>
      </c>
      <c r="K30" s="13">
        <f t="shared" si="3"/>
        <v>112768.45283742329</v>
      </c>
      <c r="L30" s="14">
        <f t="shared" si="4"/>
        <v>3676251.5624999995</v>
      </c>
    </row>
    <row r="31" spans="1:12" x14ac:dyDescent="0.25">
      <c r="A31" s="40"/>
      <c r="B31" s="41"/>
      <c r="C31" s="41"/>
      <c r="D31" s="41"/>
      <c r="E31" s="41"/>
      <c r="F31" s="41"/>
      <c r="G31" s="41"/>
      <c r="H31" s="41"/>
      <c r="I31" s="10" t="s">
        <v>39</v>
      </c>
      <c r="J31" s="35">
        <v>0.85</v>
      </c>
      <c r="K31" s="13">
        <f t="shared" si="3"/>
        <v>106135.01443522194</v>
      </c>
      <c r="L31" s="14">
        <f t="shared" si="4"/>
        <v>3460001.4705882352</v>
      </c>
    </row>
    <row r="32" spans="1:12" x14ac:dyDescent="0.25">
      <c r="A32" s="40"/>
      <c r="B32" s="41"/>
      <c r="C32" s="41"/>
      <c r="D32" s="41"/>
      <c r="E32" s="41"/>
      <c r="F32" s="41"/>
      <c r="G32" s="41"/>
      <c r="H32" s="41"/>
      <c r="I32" s="10" t="s">
        <v>40</v>
      </c>
      <c r="J32" s="35">
        <v>0.5</v>
      </c>
      <c r="K32" s="13">
        <f t="shared" si="3"/>
        <v>180429.52453987728</v>
      </c>
      <c r="L32" s="14">
        <f t="shared" si="4"/>
        <v>5882002.5</v>
      </c>
    </row>
    <row r="33" spans="1:12" x14ac:dyDescent="0.25">
      <c r="A33" s="15"/>
      <c r="B33" s="16"/>
      <c r="C33" s="16"/>
      <c r="D33" s="16"/>
      <c r="E33" s="16"/>
      <c r="F33" s="16"/>
      <c r="G33" s="16"/>
      <c r="H33" s="16"/>
      <c r="I33" s="18"/>
      <c r="J33" s="19"/>
      <c r="K33" s="20"/>
      <c r="L33" s="21"/>
    </row>
    <row r="34" spans="1:12" x14ac:dyDescent="0.25">
      <c r="A34" s="22" t="s">
        <v>41</v>
      </c>
      <c r="B34" s="91" t="s">
        <v>13</v>
      </c>
      <c r="C34" s="92"/>
      <c r="D34" s="42" t="s">
        <v>42</v>
      </c>
      <c r="E34" s="9">
        <f>'[1]Tarifas Comb'!$D$7</f>
        <v>33</v>
      </c>
      <c r="F34" s="9"/>
      <c r="G34" s="10">
        <v>10910</v>
      </c>
      <c r="H34" s="43">
        <f>+(E34/G34)*1000</f>
        <v>3.0247479376718607</v>
      </c>
      <c r="I34" s="10" t="s">
        <v>34</v>
      </c>
      <c r="J34" s="35">
        <v>0.85</v>
      </c>
      <c r="K34" s="13">
        <f t="shared" ref="K34:K41" si="5">$I$6/($H$34*J34)</f>
        <v>137818.9705882353</v>
      </c>
      <c r="L34" s="14">
        <f>K34*$E$34</f>
        <v>4548026.0294117648</v>
      </c>
    </row>
    <row r="35" spans="1:12" x14ac:dyDescent="0.25">
      <c r="A35" s="36"/>
      <c r="B35" s="44"/>
      <c r="C35" s="44"/>
      <c r="D35" s="26"/>
      <c r="E35" s="38"/>
      <c r="F35" s="38"/>
      <c r="G35" s="28"/>
      <c r="H35" s="39"/>
      <c r="I35" s="10" t="s">
        <v>35</v>
      </c>
      <c r="J35" s="35">
        <v>0.9</v>
      </c>
      <c r="K35" s="13">
        <f t="shared" si="5"/>
        <v>130162.36111111111</v>
      </c>
      <c r="L35" s="14">
        <f t="shared" ref="L35:L41" si="6">K35*$E$34</f>
        <v>4295357.916666667</v>
      </c>
    </row>
    <row r="36" spans="1:12" x14ac:dyDescent="0.25">
      <c r="A36" s="36"/>
      <c r="B36" s="44"/>
      <c r="C36" s="44"/>
      <c r="D36" s="26"/>
      <c r="E36" s="38"/>
      <c r="F36" s="38"/>
      <c r="G36" s="28"/>
      <c r="H36" s="39"/>
      <c r="I36" s="10" t="s">
        <v>36</v>
      </c>
      <c r="J36" s="35">
        <v>1</v>
      </c>
      <c r="K36" s="13">
        <f t="shared" si="5"/>
        <v>117146.125</v>
      </c>
      <c r="L36" s="14">
        <f t="shared" si="6"/>
        <v>3865822.125</v>
      </c>
    </row>
    <row r="37" spans="1:12" x14ac:dyDescent="0.25">
      <c r="A37" s="36"/>
      <c r="B37" s="44"/>
      <c r="C37" s="44"/>
      <c r="D37" s="26"/>
      <c r="E37" s="38"/>
      <c r="F37" s="38"/>
      <c r="G37" s="28"/>
      <c r="H37" s="39"/>
      <c r="I37" s="10" t="s">
        <v>37</v>
      </c>
      <c r="J37" s="35">
        <v>0.8</v>
      </c>
      <c r="K37" s="13">
        <f t="shared" si="5"/>
        <v>146432.65624999997</v>
      </c>
      <c r="L37" s="14">
        <f t="shared" si="6"/>
        <v>4832277.6562499991</v>
      </c>
    </row>
    <row r="38" spans="1:12" x14ac:dyDescent="0.25">
      <c r="A38" s="40"/>
      <c r="B38" s="41"/>
      <c r="C38" s="41"/>
      <c r="D38" s="41"/>
      <c r="E38" s="41"/>
      <c r="F38" s="41"/>
      <c r="G38" s="41"/>
      <c r="H38" s="41"/>
      <c r="I38" s="10" t="s">
        <v>38</v>
      </c>
      <c r="J38" s="35">
        <v>0.8</v>
      </c>
      <c r="K38" s="13">
        <f t="shared" si="5"/>
        <v>146432.65624999997</v>
      </c>
      <c r="L38" s="14">
        <f t="shared" si="6"/>
        <v>4832277.6562499991</v>
      </c>
    </row>
    <row r="39" spans="1:12" x14ac:dyDescent="0.25">
      <c r="A39" s="40"/>
      <c r="B39" s="41"/>
      <c r="C39" s="41"/>
      <c r="D39" s="41"/>
      <c r="E39" s="41"/>
      <c r="F39" s="41"/>
      <c r="G39" s="41"/>
      <c r="H39" s="41"/>
      <c r="I39" s="10" t="s">
        <v>39</v>
      </c>
      <c r="J39" s="35">
        <v>0.85</v>
      </c>
      <c r="K39" s="13">
        <f t="shared" si="5"/>
        <v>137818.9705882353</v>
      </c>
      <c r="L39" s="14">
        <f t="shared" si="6"/>
        <v>4548026.0294117648</v>
      </c>
    </row>
    <row r="40" spans="1:12" x14ac:dyDescent="0.25">
      <c r="A40" s="40"/>
      <c r="B40" s="41"/>
      <c r="C40" s="41"/>
      <c r="D40" s="41"/>
      <c r="E40" s="41"/>
      <c r="F40" s="41"/>
      <c r="G40" s="41"/>
      <c r="H40" s="41"/>
      <c r="I40" s="10" t="s">
        <v>40</v>
      </c>
      <c r="J40" s="35">
        <v>0.5</v>
      </c>
      <c r="K40" s="13">
        <f t="shared" si="5"/>
        <v>234292.25</v>
      </c>
      <c r="L40" s="14">
        <f t="shared" si="6"/>
        <v>7731644.25</v>
      </c>
    </row>
    <row r="41" spans="1:12" x14ac:dyDescent="0.25">
      <c r="A41" s="40"/>
      <c r="B41" s="41"/>
      <c r="C41" s="41"/>
      <c r="D41" s="41"/>
      <c r="E41" s="41"/>
      <c r="F41" s="41"/>
      <c r="G41" s="41"/>
      <c r="H41" s="41"/>
      <c r="I41" s="45" t="s">
        <v>43</v>
      </c>
      <c r="J41" s="46">
        <v>0.55000000000000004</v>
      </c>
      <c r="K41" s="13">
        <f t="shared" si="5"/>
        <v>212992.95454545453</v>
      </c>
      <c r="L41" s="14">
        <f t="shared" si="6"/>
        <v>7028767.4999999991</v>
      </c>
    </row>
    <row r="42" spans="1:12" x14ac:dyDescent="0.25">
      <c r="A42" s="15"/>
      <c r="B42" s="16"/>
      <c r="C42" s="16"/>
      <c r="D42" s="16"/>
      <c r="E42" s="16"/>
      <c r="F42" s="16"/>
      <c r="G42" s="16"/>
      <c r="H42" s="16"/>
      <c r="I42" s="18"/>
      <c r="J42" s="19"/>
      <c r="K42" s="20"/>
      <c r="L42" s="21"/>
    </row>
    <row r="43" spans="1:12" x14ac:dyDescent="0.25">
      <c r="A43" s="47" t="s">
        <v>44</v>
      </c>
      <c r="B43" s="91" t="s">
        <v>13</v>
      </c>
      <c r="C43" s="92"/>
      <c r="D43" s="48" t="s">
        <v>42</v>
      </c>
      <c r="E43" s="49">
        <f>'[1]Tarifas Comb'!$D$10</f>
        <v>3</v>
      </c>
      <c r="F43" s="49"/>
      <c r="G43" s="50">
        <v>2700</v>
      </c>
      <c r="H43" s="43">
        <f>+(E43/G43)*1000</f>
        <v>1.1111111111111112</v>
      </c>
      <c r="I43" s="50" t="s">
        <v>45</v>
      </c>
      <c r="J43" s="23">
        <v>0.6</v>
      </c>
      <c r="K43" s="13">
        <f>$I$6/($H$43*J43)</f>
        <v>531506.25</v>
      </c>
      <c r="L43" s="14">
        <f>K43*$E$43</f>
        <v>1594518.75</v>
      </c>
    </row>
    <row r="44" spans="1:12" x14ac:dyDescent="0.25">
      <c r="A44" s="36"/>
      <c r="B44" s="44"/>
      <c r="C44" s="44"/>
      <c r="D44" s="26"/>
      <c r="E44" s="51"/>
      <c r="F44" s="51"/>
      <c r="G44" s="28"/>
      <c r="H44" s="39"/>
      <c r="I44" s="50" t="s">
        <v>46</v>
      </c>
      <c r="J44" s="23">
        <v>0.55000000000000004</v>
      </c>
      <c r="K44" s="13">
        <f>$I$6/($H$43*J44)</f>
        <v>579825</v>
      </c>
      <c r="L44" s="14">
        <f t="shared" ref="L44:L47" si="7">K44*$E$43</f>
        <v>1739475</v>
      </c>
    </row>
    <row r="45" spans="1:12" x14ac:dyDescent="0.25">
      <c r="A45" s="36"/>
      <c r="B45" s="44"/>
      <c r="C45" s="44"/>
      <c r="D45" s="26"/>
      <c r="E45" s="51"/>
      <c r="F45" s="51"/>
      <c r="G45" s="28"/>
      <c r="H45" s="39"/>
      <c r="I45" s="50" t="s">
        <v>47</v>
      </c>
      <c r="J45" s="23">
        <v>0.4</v>
      </c>
      <c r="K45" s="13">
        <f>$I$6/($H$43*J45)</f>
        <v>797259.375</v>
      </c>
      <c r="L45" s="14">
        <f t="shared" si="7"/>
        <v>2391778.125</v>
      </c>
    </row>
    <row r="46" spans="1:12" x14ac:dyDescent="0.25">
      <c r="A46" s="40"/>
      <c r="B46" s="41"/>
      <c r="C46" s="41"/>
      <c r="D46" s="41"/>
      <c r="E46" s="41"/>
      <c r="F46" s="41"/>
      <c r="G46" s="41"/>
      <c r="H46" s="41"/>
      <c r="I46" s="52" t="s">
        <v>48</v>
      </c>
      <c r="J46" s="35">
        <v>0.2</v>
      </c>
      <c r="K46" s="13">
        <f>$I$6/($H$43*J46)</f>
        <v>1594518.75</v>
      </c>
      <c r="L46" s="14">
        <f t="shared" si="7"/>
        <v>4783556.25</v>
      </c>
    </row>
    <row r="47" spans="1:12" x14ac:dyDescent="0.25">
      <c r="A47" s="53"/>
      <c r="B47" s="54"/>
      <c r="C47" s="54"/>
      <c r="D47" s="54"/>
      <c r="E47" s="54"/>
      <c r="F47" s="54"/>
      <c r="G47" s="54"/>
      <c r="H47" s="54"/>
      <c r="I47" s="52" t="s">
        <v>49</v>
      </c>
      <c r="J47" s="35">
        <v>0.1</v>
      </c>
      <c r="K47" s="13">
        <f>$I$6/($H$43*J47)</f>
        <v>3189037.5</v>
      </c>
      <c r="L47" s="14">
        <f t="shared" si="7"/>
        <v>9567112.5</v>
      </c>
    </row>
    <row r="48" spans="1:12" ht="15.75" thickBot="1" x14ac:dyDescent="0.3">
      <c r="A48" s="55"/>
      <c r="B48" s="56"/>
      <c r="C48" s="56"/>
      <c r="D48" s="56"/>
      <c r="E48" s="56"/>
      <c r="F48" s="56"/>
      <c r="G48" s="56"/>
      <c r="H48" s="56"/>
      <c r="I48" s="57"/>
      <c r="J48" s="58"/>
      <c r="K48" s="59"/>
      <c r="L48" s="60"/>
    </row>
    <row r="49" spans="1:11" x14ac:dyDescent="0.25">
      <c r="A49" s="2"/>
      <c r="B49" s="2"/>
      <c r="C49" s="2"/>
      <c r="D49" s="2"/>
      <c r="E49" s="2"/>
      <c r="F49" s="2"/>
      <c r="G49" s="2"/>
      <c r="H49" s="2"/>
      <c r="I49" s="2"/>
      <c r="J49" s="2"/>
      <c r="K49" s="2"/>
    </row>
    <row r="50" spans="1:11" ht="15.75" x14ac:dyDescent="0.25">
      <c r="A50" s="61" t="s">
        <v>50</v>
      </c>
      <c r="B50" s="62"/>
      <c r="C50" s="2"/>
      <c r="D50" s="2"/>
      <c r="E50" s="2"/>
      <c r="F50" s="2"/>
      <c r="G50" s="2"/>
      <c r="H50" s="2"/>
      <c r="I50" s="2"/>
      <c r="J50" s="2"/>
    </row>
    <row r="51" spans="1:11" x14ac:dyDescent="0.25">
      <c r="A51" s="62" t="s">
        <v>51</v>
      </c>
      <c r="B51" s="62"/>
      <c r="C51" s="2"/>
      <c r="D51" s="2"/>
      <c r="E51" s="2"/>
      <c r="F51" s="2"/>
      <c r="G51" s="2"/>
      <c r="H51" s="2"/>
      <c r="I51" s="2"/>
      <c r="J51" s="2"/>
    </row>
    <row r="52" spans="1:11" x14ac:dyDescent="0.25">
      <c r="A52" s="62" t="s">
        <v>52</v>
      </c>
      <c r="B52" s="62"/>
      <c r="C52" s="2"/>
      <c r="D52" s="2"/>
      <c r="E52" s="2"/>
      <c r="F52" s="2"/>
      <c r="G52" s="2"/>
      <c r="H52" s="2"/>
      <c r="I52" s="2"/>
      <c r="J52" s="2"/>
    </row>
    <row r="53" spans="1:11" x14ac:dyDescent="0.25">
      <c r="A53" s="62" t="s">
        <v>53</v>
      </c>
      <c r="B53" s="63"/>
      <c r="C53" s="63"/>
      <c r="D53" s="63"/>
      <c r="E53" s="63"/>
      <c r="F53" s="63"/>
      <c r="G53" s="63"/>
      <c r="H53" s="63"/>
      <c r="I53" s="63"/>
      <c r="J53" s="63"/>
    </row>
    <row r="54" spans="1:11" x14ac:dyDescent="0.25">
      <c r="A54" s="62" t="s">
        <v>54</v>
      </c>
      <c r="B54" s="62"/>
      <c r="C54" s="2"/>
      <c r="D54" s="2"/>
      <c r="E54" s="2"/>
      <c r="F54" s="2"/>
      <c r="G54" s="2"/>
      <c r="H54" s="2"/>
      <c r="I54" s="2"/>
      <c r="J54" s="2"/>
    </row>
    <row r="55" spans="1:11" x14ac:dyDescent="0.25">
      <c r="A55" s="62" t="s">
        <v>55</v>
      </c>
      <c r="B55" s="62"/>
      <c r="C55" s="2"/>
      <c r="D55" s="2"/>
      <c r="E55" s="2"/>
      <c r="F55" s="2"/>
      <c r="G55" s="2"/>
      <c r="H55" s="2"/>
      <c r="I55" s="2"/>
      <c r="J55" s="2"/>
    </row>
    <row r="56" spans="1:11" x14ac:dyDescent="0.25">
      <c r="A56" s="62" t="s">
        <v>56</v>
      </c>
      <c r="B56" s="62"/>
      <c r="C56" s="2"/>
      <c r="D56" s="2"/>
      <c r="E56" s="2"/>
      <c r="F56" s="2"/>
      <c r="G56" s="2"/>
      <c r="H56" s="2"/>
      <c r="I56" s="2"/>
      <c r="J56" s="2"/>
    </row>
    <row r="61" spans="1:11" ht="18.75" x14ac:dyDescent="0.3">
      <c r="A61" s="1" t="s">
        <v>74</v>
      </c>
    </row>
    <row r="62" spans="1:11" ht="15.75" thickBot="1" x14ac:dyDescent="0.3"/>
    <row r="63" spans="1:11" x14ac:dyDescent="0.25">
      <c r="B63" s="83" t="s">
        <v>75</v>
      </c>
      <c r="C63" s="84"/>
      <c r="D63" s="70"/>
      <c r="E63" s="70" t="s">
        <v>60</v>
      </c>
      <c r="F63" s="71" t="s">
        <v>58</v>
      </c>
      <c r="G63" s="70" t="s">
        <v>61</v>
      </c>
      <c r="H63" s="72" t="s">
        <v>71</v>
      </c>
      <c r="I63" s="68"/>
      <c r="J63" s="76"/>
      <c r="K63" t="s">
        <v>76</v>
      </c>
    </row>
    <row r="64" spans="1:11" ht="15.75" thickBot="1" x14ac:dyDescent="0.3">
      <c r="B64" s="85"/>
      <c r="C64" s="86"/>
      <c r="D64" s="73"/>
      <c r="E64" s="74">
        <v>45</v>
      </c>
      <c r="F64" s="74">
        <v>55</v>
      </c>
      <c r="G64" s="73">
        <f>E64*F64</f>
        <v>2475</v>
      </c>
      <c r="H64" s="75">
        <f>G64/3</f>
        <v>825</v>
      </c>
      <c r="I64" s="68"/>
    </row>
    <row r="66" spans="1:12" s="68" customFormat="1" x14ac:dyDescent="0.25">
      <c r="B66" s="69"/>
      <c r="C66" s="69"/>
    </row>
    <row r="67" spans="1:12" s="68" customFormat="1" x14ac:dyDescent="0.25">
      <c r="B67" s="69"/>
      <c r="C67" s="69"/>
    </row>
    <row r="68" spans="1:12" s="68" customFormat="1" ht="15.75" thickBot="1" x14ac:dyDescent="0.3">
      <c r="B68" s="69"/>
      <c r="C68" s="69"/>
    </row>
    <row r="69" spans="1:12" ht="62.25" x14ac:dyDescent="0.25">
      <c r="A69" s="3" t="s">
        <v>2</v>
      </c>
      <c r="B69" s="89" t="s">
        <v>3</v>
      </c>
      <c r="C69" s="90"/>
      <c r="D69" s="4" t="s">
        <v>4</v>
      </c>
      <c r="E69" s="4" t="s">
        <v>5</v>
      </c>
      <c r="F69" s="4" t="s">
        <v>6</v>
      </c>
      <c r="G69" s="4" t="s">
        <v>7</v>
      </c>
      <c r="H69" s="4" t="s">
        <v>8</v>
      </c>
      <c r="I69" s="5" t="s">
        <v>9</v>
      </c>
      <c r="J69" s="4" t="s">
        <v>10</v>
      </c>
      <c r="K69" s="4" t="s">
        <v>11</v>
      </c>
      <c r="L69" s="6" t="s">
        <v>70</v>
      </c>
    </row>
    <row r="70" spans="1:12" x14ac:dyDescent="0.25">
      <c r="A70" s="22" t="s">
        <v>19</v>
      </c>
      <c r="B70" s="87" t="s">
        <v>72</v>
      </c>
      <c r="C70" s="88"/>
      <c r="D70" s="8" t="s">
        <v>20</v>
      </c>
      <c r="E70" s="9">
        <f>VLOOKUP(B70,'[2]Tarifas Eléctricas'!$A$7:$B$10,2,FALSE)</f>
        <v>7.2358199999999995</v>
      </c>
      <c r="F70" s="9">
        <v>9.02</v>
      </c>
      <c r="G70" s="10">
        <v>860</v>
      </c>
      <c r="H70" s="11">
        <f>IF(E70=$A$3,$A$3,+(E70/G70)*1000)</f>
        <v>8.413744186046511</v>
      </c>
      <c r="I70" s="10"/>
      <c r="J70" s="23"/>
      <c r="K70" s="13"/>
      <c r="L70" s="14"/>
    </row>
    <row r="71" spans="1:12" x14ac:dyDescent="0.25">
      <c r="A71" s="24"/>
      <c r="B71" s="25"/>
      <c r="C71" s="25"/>
      <c r="D71" s="26"/>
      <c r="E71" s="30"/>
      <c r="F71" s="30"/>
      <c r="G71" s="28"/>
      <c r="H71" s="29"/>
      <c r="I71" s="32" t="s">
        <v>78</v>
      </c>
      <c r="J71" s="23">
        <v>3.2</v>
      </c>
      <c r="K71" s="13">
        <f>$H$64/(J71)</f>
        <v>257.8125</v>
      </c>
      <c r="L71" s="14">
        <f>IF(AND($B$70="Residencial Simple (3)",K71&gt;300),300*$E$70+(K71-300)*$F$70,K71*$E$70)</f>
        <v>1865.4848437499998</v>
      </c>
    </row>
    <row r="72" spans="1:12" x14ac:dyDescent="0.25">
      <c r="A72" s="24"/>
      <c r="B72" s="25"/>
      <c r="C72" s="25"/>
      <c r="D72" s="25"/>
      <c r="E72" s="25"/>
      <c r="F72" s="25"/>
      <c r="G72" s="25"/>
      <c r="H72" s="25"/>
      <c r="I72" s="32" t="s">
        <v>79</v>
      </c>
      <c r="J72" s="33">
        <v>2.2999999999999998</v>
      </c>
      <c r="K72" s="13">
        <f>$H$64/(J72)</f>
        <v>358.69565217391306</v>
      </c>
      <c r="L72" s="14">
        <f>IF(AND($B$70="Residencial Simple (3)",K72&gt;300),300*$E$70+(K72-300)*$F$70,K72*$E$70)</f>
        <v>2700.1807826086952</v>
      </c>
    </row>
    <row r="73" spans="1:12" x14ac:dyDescent="0.25">
      <c r="A73" s="22" t="s">
        <v>19</v>
      </c>
      <c r="B73" s="87" t="s">
        <v>27</v>
      </c>
      <c r="C73" s="88"/>
      <c r="D73" s="8" t="s">
        <v>20</v>
      </c>
      <c r="E73" s="9">
        <f>VLOOKUP(B73,'[2]Tarifas Eléctricas'!$A$13:$B$15,2,FALSE)</f>
        <v>3.86252</v>
      </c>
      <c r="F73" s="9"/>
      <c r="G73" s="10">
        <v>860</v>
      </c>
      <c r="H73" s="11">
        <f>IF(E73=$A$3,$A$3,+(E73/G73)*1000)</f>
        <v>4.4913023255813949</v>
      </c>
      <c r="I73" s="32" t="s">
        <v>78</v>
      </c>
      <c r="J73" s="23">
        <v>3.2</v>
      </c>
      <c r="K73" s="13">
        <f>$H$64/(J73)</f>
        <v>257.8125</v>
      </c>
      <c r="L73" s="14">
        <f>$E$73*K73</f>
        <v>995.80593750000003</v>
      </c>
    </row>
    <row r="74" spans="1:12" x14ac:dyDescent="0.25">
      <c r="A74" s="24"/>
      <c r="B74" s="25"/>
      <c r="C74" s="25"/>
      <c r="D74" s="25"/>
      <c r="E74" s="25"/>
      <c r="F74" s="25"/>
      <c r="G74" s="25"/>
      <c r="H74" s="25"/>
      <c r="I74" s="32" t="s">
        <v>80</v>
      </c>
      <c r="J74" s="23">
        <v>2.2999999999999998</v>
      </c>
      <c r="K74" s="13">
        <f>$H$64/(J74)</f>
        <v>358.69565217391306</v>
      </c>
      <c r="L74" s="14">
        <f>$E$73*K74</f>
        <v>1385.4691304347828</v>
      </c>
    </row>
    <row r="75" spans="1:12" x14ac:dyDescent="0.25">
      <c r="A75" s="15"/>
      <c r="B75" s="16"/>
      <c r="C75" s="16"/>
      <c r="D75" s="16"/>
      <c r="E75" s="16"/>
      <c r="F75" s="16"/>
      <c r="G75" s="16"/>
      <c r="H75" s="16"/>
      <c r="I75" s="18"/>
      <c r="J75" s="19"/>
      <c r="K75" s="20"/>
      <c r="L75" s="21"/>
    </row>
    <row r="92" spans="2:9" x14ac:dyDescent="0.25">
      <c r="B92" s="64" t="s">
        <v>69</v>
      </c>
      <c r="C92" s="64"/>
      <c r="D92" s="64"/>
      <c r="E92" s="65" t="s">
        <v>59</v>
      </c>
      <c r="F92" s="65" t="s">
        <v>62</v>
      </c>
      <c r="H92" s="66" t="s">
        <v>63</v>
      </c>
      <c r="I92" s="66" t="s">
        <v>64</v>
      </c>
    </row>
    <row r="93" spans="2:9" x14ac:dyDescent="0.25">
      <c r="B93" s="64"/>
      <c r="C93" s="64"/>
      <c r="D93" s="64"/>
      <c r="E93" s="65">
        <v>1</v>
      </c>
      <c r="F93" s="65">
        <v>859</v>
      </c>
      <c r="H93" s="66" t="s">
        <v>65</v>
      </c>
      <c r="I93" s="67">
        <f>(9000/3.41)/1000</f>
        <v>2.6392961876832843</v>
      </c>
    </row>
    <row r="94" spans="2:9" x14ac:dyDescent="0.25">
      <c r="H94" s="66" t="s">
        <v>66</v>
      </c>
      <c r="I94" s="67">
        <f>(12000/3.41)/1000</f>
        <v>3.5190615835777126</v>
      </c>
    </row>
    <row r="95" spans="2:9" x14ac:dyDescent="0.25">
      <c r="H95" s="66" t="s">
        <v>67</v>
      </c>
      <c r="I95" s="67">
        <f>(18000/3.41)/1000</f>
        <v>5.2785923753665687</v>
      </c>
    </row>
    <row r="96" spans="2:9" x14ac:dyDescent="0.25">
      <c r="H96" s="66" t="s">
        <v>68</v>
      </c>
      <c r="I96" s="67">
        <f>(24000/3.41)/1000</f>
        <v>7.0381231671554252</v>
      </c>
    </row>
  </sheetData>
  <mergeCells count="14">
    <mergeCell ref="B16:C16"/>
    <mergeCell ref="B22:C22"/>
    <mergeCell ref="B5:C6"/>
    <mergeCell ref="B9:C9"/>
    <mergeCell ref="B10:C10"/>
    <mergeCell ref="B12:C12"/>
    <mergeCell ref="B14:C14"/>
    <mergeCell ref="B63:C64"/>
    <mergeCell ref="B70:C70"/>
    <mergeCell ref="B73:C73"/>
    <mergeCell ref="B69:C69"/>
    <mergeCell ref="B26:C26"/>
    <mergeCell ref="B34:C34"/>
    <mergeCell ref="B43:C43"/>
  </mergeCells>
  <dataValidations disablePrompts="1" count="2">
    <dataValidation type="list" allowBlank="1" showInputMessage="1" showErrorMessage="1" sqref="B16:C16 B70:C70">
      <formula1>TarifaElectricidad</formula1>
    </dataValidation>
    <dataValidation type="list" showInputMessage="1" showErrorMessage="1" sqref="B26:C26">
      <formula1>TarifaGas</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Mimbacas</dc:creator>
  <cp:lastModifiedBy>Alicia Mimbacas</cp:lastModifiedBy>
  <dcterms:created xsi:type="dcterms:W3CDTF">2017-06-26T16:50:08Z</dcterms:created>
  <dcterms:modified xsi:type="dcterms:W3CDTF">2017-06-27T21:57:21Z</dcterms:modified>
</cp:coreProperties>
</file>