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621" documentId="8_{2879E754-E301-4292-B21F-0A5E11233BAA}" xr6:coauthVersionLast="47" xr6:coauthVersionMax="47" xr10:uidLastSave="{3E132699-A964-415E-8063-5AC99C1E5745}"/>
  <bookViews>
    <workbookView xWindow="-120" yWindow="-120" windowWidth="20730" windowHeight="11160" xr2:uid="{819CA7C7-8216-42DE-BAA2-3E4C33D3323D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D81" i="1"/>
  <c r="D80" i="1"/>
  <c r="C80" i="1"/>
  <c r="E65" i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S68" i="4" l="1"/>
  <c r="K68" i="4"/>
  <c r="V67" i="4"/>
  <c r="I62" i="4"/>
  <c r="F55" i="4"/>
  <c r="F73" i="4" s="1"/>
  <c r="G55" i="4"/>
  <c r="H55" i="4"/>
  <c r="I55" i="4"/>
  <c r="J55" i="4"/>
  <c r="K55" i="4"/>
  <c r="K73" i="4" s="1"/>
  <c r="L55" i="4"/>
  <c r="E55" i="4"/>
  <c r="F51" i="4"/>
  <c r="G51" i="4"/>
  <c r="H51" i="4"/>
  <c r="I51" i="4"/>
  <c r="J51" i="4"/>
  <c r="K51" i="4"/>
  <c r="L51" i="4"/>
  <c r="E51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48" i="4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F18" i="4"/>
  <c r="G18" i="4"/>
  <c r="H18" i="4"/>
  <c r="I18" i="4"/>
  <c r="J18" i="4"/>
  <c r="K18" i="4"/>
  <c r="L18" i="4"/>
  <c r="E18" i="4"/>
  <c r="F14" i="4"/>
  <c r="G14" i="4"/>
  <c r="H14" i="4"/>
  <c r="I14" i="4"/>
  <c r="J14" i="4"/>
  <c r="K14" i="4"/>
  <c r="L14" i="4"/>
  <c r="E14" i="4"/>
  <c r="C11" i="2"/>
  <c r="E8" i="4"/>
  <c r="AG22" i="4"/>
  <c r="AG25" i="4" s="1"/>
  <c r="AF22" i="4"/>
  <c r="AF70" i="4" s="1"/>
  <c r="AE22" i="4"/>
  <c r="AE67" i="4" s="1"/>
  <c r="AD22" i="4"/>
  <c r="AD30" i="4" s="1"/>
  <c r="AC22" i="4"/>
  <c r="AC69" i="4" s="1"/>
  <c r="AB22" i="4"/>
  <c r="AB34" i="4" s="1"/>
  <c r="AA22" i="4"/>
  <c r="AA26" i="4" s="1"/>
  <c r="Z22" i="4"/>
  <c r="Z68" i="4" s="1"/>
  <c r="Y22" i="4"/>
  <c r="Y73" i="4" s="1"/>
  <c r="X22" i="4"/>
  <c r="X35" i="4" s="1"/>
  <c r="W22" i="4"/>
  <c r="W67" i="4" s="1"/>
  <c r="V22" i="4"/>
  <c r="V72" i="4" s="1"/>
  <c r="U22" i="4"/>
  <c r="U36" i="4" s="1"/>
  <c r="T22" i="4"/>
  <c r="T66" i="4" s="1"/>
  <c r="S22" i="4"/>
  <c r="S71" i="4" s="1"/>
  <c r="R22" i="4"/>
  <c r="R68" i="4" s="1"/>
  <c r="Q22" i="4"/>
  <c r="Q36" i="4" s="1"/>
  <c r="P22" i="4"/>
  <c r="P35" i="4" s="1"/>
  <c r="O22" i="4"/>
  <c r="O67" i="4" s="1"/>
  <c r="N22" i="4"/>
  <c r="N26" i="4" s="1"/>
  <c r="M22" i="4"/>
  <c r="M34" i="4" s="1"/>
  <c r="L22" i="4"/>
  <c r="L66" i="4" s="1"/>
  <c r="K22" i="4"/>
  <c r="K28" i="4" s="1"/>
  <c r="J22" i="4"/>
  <c r="J31" i="4" s="1"/>
  <c r="I22" i="4"/>
  <c r="I65" i="4" s="1"/>
  <c r="H22" i="4"/>
  <c r="H62" i="4" s="1"/>
  <c r="G22" i="4"/>
  <c r="G67" i="4" s="1"/>
  <c r="F22" i="4"/>
  <c r="F30" i="4" s="1"/>
  <c r="E22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O19" i="4"/>
  <c r="T19" i="4"/>
  <c r="S19" i="4"/>
  <c r="M11" i="4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G69" i="4" l="1"/>
  <c r="T63" i="4"/>
  <c r="Q68" i="4"/>
  <c r="AB63" i="4"/>
  <c r="N69" i="4"/>
  <c r="Z63" i="4"/>
  <c r="Z64" i="4"/>
  <c r="Y70" i="4"/>
  <c r="AE64" i="4"/>
  <c r="J65" i="4"/>
  <c r="AE72" i="4"/>
  <c r="J73" i="4"/>
  <c r="L69" i="4"/>
  <c r="I73" i="4"/>
  <c r="J63" i="4"/>
  <c r="O64" i="4"/>
  <c r="F67" i="4"/>
  <c r="F68" i="4"/>
  <c r="AA68" i="4"/>
  <c r="AD69" i="4"/>
  <c r="AB71" i="4"/>
  <c r="K69" i="4"/>
  <c r="L63" i="4"/>
  <c r="R64" i="4"/>
  <c r="H67" i="4"/>
  <c r="I68" i="4"/>
  <c r="AD68" i="4"/>
  <c r="AG69" i="4"/>
  <c r="Q69" i="4"/>
  <c r="J69" i="4"/>
  <c r="G73" i="4"/>
  <c r="R63" i="4"/>
  <c r="W64" i="4"/>
  <c r="N67" i="4"/>
  <c r="AG68" i="4"/>
  <c r="O72" i="4"/>
  <c r="I69" i="4"/>
  <c r="P67" i="4"/>
  <c r="N68" i="4"/>
  <c r="F69" i="4"/>
  <c r="Q70" i="4"/>
  <c r="W72" i="4"/>
  <c r="Q62" i="4"/>
  <c r="X67" i="4"/>
  <c r="AG70" i="4"/>
  <c r="Y62" i="4"/>
  <c r="G64" i="4"/>
  <c r="R65" i="4"/>
  <c r="AD67" i="4"/>
  <c r="V68" i="4"/>
  <c r="V69" i="4"/>
  <c r="R73" i="4"/>
  <c r="E69" i="4"/>
  <c r="AG62" i="4"/>
  <c r="J64" i="4"/>
  <c r="Z65" i="4"/>
  <c r="AF67" i="4"/>
  <c r="Y68" i="4"/>
  <c r="Y69" i="4"/>
  <c r="T71" i="4"/>
  <c r="Z73" i="4"/>
  <c r="U66" i="4"/>
  <c r="J62" i="4"/>
  <c r="R62" i="4"/>
  <c r="Z62" i="4"/>
  <c r="M63" i="4"/>
  <c r="U63" i="4"/>
  <c r="AC63" i="4"/>
  <c r="H64" i="4"/>
  <c r="P64" i="4"/>
  <c r="X64" i="4"/>
  <c r="AF64" i="4"/>
  <c r="K65" i="4"/>
  <c r="S65" i="4"/>
  <c r="AA65" i="4"/>
  <c r="F66" i="4"/>
  <c r="N66" i="4"/>
  <c r="V66" i="4"/>
  <c r="AD66" i="4"/>
  <c r="I67" i="4"/>
  <c r="Q67" i="4"/>
  <c r="Y67" i="4"/>
  <c r="AG67" i="4"/>
  <c r="L68" i="4"/>
  <c r="T68" i="4"/>
  <c r="AB68" i="4"/>
  <c r="O69" i="4"/>
  <c r="W69" i="4"/>
  <c r="AE69" i="4"/>
  <c r="J70" i="4"/>
  <c r="R70" i="4"/>
  <c r="Z70" i="4"/>
  <c r="M71" i="4"/>
  <c r="U71" i="4"/>
  <c r="AC71" i="4"/>
  <c r="P72" i="4"/>
  <c r="X72" i="4"/>
  <c r="AF72" i="4"/>
  <c r="S73" i="4"/>
  <c r="AA73" i="4"/>
  <c r="M66" i="4"/>
  <c r="AC66" i="4"/>
  <c r="K62" i="4"/>
  <c r="S62" i="4"/>
  <c r="AA62" i="4"/>
  <c r="F63" i="4"/>
  <c r="N63" i="4"/>
  <c r="V63" i="4"/>
  <c r="AD63" i="4"/>
  <c r="I64" i="4"/>
  <c r="Q64" i="4"/>
  <c r="Y64" i="4"/>
  <c r="AG64" i="4"/>
  <c r="L65" i="4"/>
  <c r="T65" i="4"/>
  <c r="AB65" i="4"/>
  <c r="G66" i="4"/>
  <c r="O66" i="4"/>
  <c r="W66" i="4"/>
  <c r="AE66" i="4"/>
  <c r="J67" i="4"/>
  <c r="R67" i="4"/>
  <c r="Z67" i="4"/>
  <c r="M68" i="4"/>
  <c r="U68" i="4"/>
  <c r="AC68" i="4"/>
  <c r="H69" i="4"/>
  <c r="P69" i="4"/>
  <c r="X69" i="4"/>
  <c r="AF69" i="4"/>
  <c r="K70" i="4"/>
  <c r="S70" i="4"/>
  <c r="AA70" i="4"/>
  <c r="N71" i="4"/>
  <c r="V71" i="4"/>
  <c r="AD71" i="4"/>
  <c r="Q72" i="4"/>
  <c r="Y72" i="4"/>
  <c r="AG72" i="4"/>
  <c r="L73" i="4"/>
  <c r="T73" i="4"/>
  <c r="AB73" i="4"/>
  <c r="L62" i="4"/>
  <c r="T62" i="4"/>
  <c r="AB62" i="4"/>
  <c r="G63" i="4"/>
  <c r="O63" i="4"/>
  <c r="W63" i="4"/>
  <c r="AE63" i="4"/>
  <c r="M65" i="4"/>
  <c r="U65" i="4"/>
  <c r="AC65" i="4"/>
  <c r="H66" i="4"/>
  <c r="P66" i="4"/>
  <c r="X66" i="4"/>
  <c r="AF66" i="4"/>
  <c r="K67" i="4"/>
  <c r="S67" i="4"/>
  <c r="AA67" i="4"/>
  <c r="L70" i="4"/>
  <c r="T70" i="4"/>
  <c r="AB70" i="4"/>
  <c r="O71" i="4"/>
  <c r="W71" i="4"/>
  <c r="AE71" i="4"/>
  <c r="R72" i="4"/>
  <c r="Z72" i="4"/>
  <c r="E73" i="4"/>
  <c r="M73" i="4"/>
  <c r="U73" i="4"/>
  <c r="AC73" i="4"/>
  <c r="M62" i="4"/>
  <c r="U62" i="4"/>
  <c r="AC62" i="4"/>
  <c r="H63" i="4"/>
  <c r="P63" i="4"/>
  <c r="X63" i="4"/>
  <c r="AF63" i="4"/>
  <c r="K64" i="4"/>
  <c r="S64" i="4"/>
  <c r="AA64" i="4"/>
  <c r="F65" i="4"/>
  <c r="N65" i="4"/>
  <c r="V65" i="4"/>
  <c r="AD65" i="4"/>
  <c r="I66" i="4"/>
  <c r="Q66" i="4"/>
  <c r="Y66" i="4"/>
  <c r="AG66" i="4"/>
  <c r="L67" i="4"/>
  <c r="T67" i="4"/>
  <c r="AB67" i="4"/>
  <c r="G68" i="4"/>
  <c r="O68" i="4"/>
  <c r="W68" i="4"/>
  <c r="AE68" i="4"/>
  <c r="R69" i="4"/>
  <c r="Z69" i="4"/>
  <c r="M70" i="4"/>
  <c r="U70" i="4"/>
  <c r="AC70" i="4"/>
  <c r="P71" i="4"/>
  <c r="X71" i="4"/>
  <c r="AF71" i="4"/>
  <c r="S72" i="4"/>
  <c r="AA72" i="4"/>
  <c r="N73" i="4"/>
  <c r="V73" i="4"/>
  <c r="AD73" i="4"/>
  <c r="F62" i="4"/>
  <c r="N62" i="4"/>
  <c r="V62" i="4"/>
  <c r="AD62" i="4"/>
  <c r="I63" i="4"/>
  <c r="Q63" i="4"/>
  <c r="Y63" i="4"/>
  <c r="AG63" i="4"/>
  <c r="L64" i="4"/>
  <c r="T64" i="4"/>
  <c r="AB64" i="4"/>
  <c r="G65" i="4"/>
  <c r="O65" i="4"/>
  <c r="W65" i="4"/>
  <c r="AE65" i="4"/>
  <c r="J66" i="4"/>
  <c r="R66" i="4"/>
  <c r="Z66" i="4"/>
  <c r="M67" i="4"/>
  <c r="U67" i="4"/>
  <c r="AC67" i="4"/>
  <c r="H68" i="4"/>
  <c r="P68" i="4"/>
  <c r="X68" i="4"/>
  <c r="AF68" i="4"/>
  <c r="S69" i="4"/>
  <c r="AA69" i="4"/>
  <c r="N70" i="4"/>
  <c r="V70" i="4"/>
  <c r="AD70" i="4"/>
  <c r="Q71" i="4"/>
  <c r="Y71" i="4"/>
  <c r="AG71" i="4"/>
  <c r="T72" i="4"/>
  <c r="AB72" i="4"/>
  <c r="O73" i="4"/>
  <c r="W73" i="4"/>
  <c r="AE73" i="4"/>
  <c r="G62" i="4"/>
  <c r="O62" i="4"/>
  <c r="W62" i="4"/>
  <c r="AE62" i="4"/>
  <c r="M64" i="4"/>
  <c r="U64" i="4"/>
  <c r="AC64" i="4"/>
  <c r="H65" i="4"/>
  <c r="P65" i="4"/>
  <c r="X65" i="4"/>
  <c r="AF65" i="4"/>
  <c r="K66" i="4"/>
  <c r="S66" i="4"/>
  <c r="AA66" i="4"/>
  <c r="T69" i="4"/>
  <c r="AB69" i="4"/>
  <c r="O70" i="4"/>
  <c r="W70" i="4"/>
  <c r="AE70" i="4"/>
  <c r="R71" i="4"/>
  <c r="Z71" i="4"/>
  <c r="M72" i="4"/>
  <c r="U72" i="4"/>
  <c r="AC72" i="4"/>
  <c r="H73" i="4"/>
  <c r="P73" i="4"/>
  <c r="X73" i="4"/>
  <c r="AF73" i="4"/>
  <c r="P62" i="4"/>
  <c r="X62" i="4"/>
  <c r="AF62" i="4"/>
  <c r="K63" i="4"/>
  <c r="S63" i="4"/>
  <c r="AA63" i="4"/>
  <c r="F64" i="4"/>
  <c r="N64" i="4"/>
  <c r="V64" i="4"/>
  <c r="AD64" i="4"/>
  <c r="Q65" i="4"/>
  <c r="Y65" i="4"/>
  <c r="AG65" i="4"/>
  <c r="AB66" i="4"/>
  <c r="J68" i="4"/>
  <c r="M69" i="4"/>
  <c r="U69" i="4"/>
  <c r="P70" i="4"/>
  <c r="X70" i="4"/>
  <c r="AA71" i="4"/>
  <c r="N72" i="4"/>
  <c r="AD72" i="4"/>
  <c r="Q73" i="4"/>
  <c r="AG73" i="4"/>
  <c r="K32" i="4"/>
  <c r="E26" i="4"/>
  <c r="E36" i="4"/>
  <c r="AG34" i="4"/>
  <c r="Q31" i="4"/>
  <c r="J36" i="4"/>
  <c r="AF36" i="4"/>
  <c r="F32" i="4"/>
  <c r="F36" i="4"/>
  <c r="Z36" i="4"/>
  <c r="U34" i="4"/>
  <c r="V30" i="4"/>
  <c r="E32" i="4"/>
  <c r="X36" i="4"/>
  <c r="S34" i="4"/>
  <c r="S30" i="4"/>
  <c r="L32" i="4"/>
  <c r="R36" i="4"/>
  <c r="I29" i="4"/>
  <c r="K36" i="4"/>
  <c r="P36" i="4"/>
  <c r="AF35" i="4"/>
  <c r="X33" i="4"/>
  <c r="N28" i="4"/>
  <c r="J32" i="4"/>
  <c r="Z35" i="4"/>
  <c r="J33" i="4"/>
  <c r="I36" i="4"/>
  <c r="AA32" i="4"/>
  <c r="AC26" i="4"/>
  <c r="H32" i="4"/>
  <c r="H36" i="4"/>
  <c r="F26" i="4"/>
  <c r="O26" i="4"/>
  <c r="O28" i="4"/>
  <c r="O30" i="4"/>
  <c r="O32" i="4"/>
  <c r="O34" i="4"/>
  <c r="AE29" i="4"/>
  <c r="W27" i="4"/>
  <c r="O25" i="4"/>
  <c r="H25" i="4"/>
  <c r="H27" i="4"/>
  <c r="H29" i="4"/>
  <c r="H31" i="4"/>
  <c r="H26" i="4"/>
  <c r="H28" i="4"/>
  <c r="H30" i="4"/>
  <c r="P25" i="4"/>
  <c r="P27" i="4"/>
  <c r="P29" i="4"/>
  <c r="P31" i="4"/>
  <c r="P26" i="4"/>
  <c r="P28" i="4"/>
  <c r="P30" i="4"/>
  <c r="P32" i="4"/>
  <c r="P34" i="4"/>
  <c r="X25" i="4"/>
  <c r="X27" i="4"/>
  <c r="X29" i="4"/>
  <c r="X31" i="4"/>
  <c r="X26" i="4"/>
  <c r="X28" i="4"/>
  <c r="X30" i="4"/>
  <c r="X32" i="4"/>
  <c r="X34" i="4"/>
  <c r="AF25" i="4"/>
  <c r="AF27" i="4"/>
  <c r="AF29" i="4"/>
  <c r="AF31" i="4"/>
  <c r="AF26" i="4"/>
  <c r="AF28" i="4"/>
  <c r="AF30" i="4"/>
  <c r="AF32" i="4"/>
  <c r="AF34" i="4"/>
  <c r="G32" i="4"/>
  <c r="AG36" i="4"/>
  <c r="Y36" i="4"/>
  <c r="AG35" i="4"/>
  <c r="Y35" i="4"/>
  <c r="O35" i="4"/>
  <c r="AE34" i="4"/>
  <c r="T34" i="4"/>
  <c r="W33" i="4"/>
  <c r="V32" i="4"/>
  <c r="O31" i="4"/>
  <c r="U30" i="4"/>
  <c r="Z29" i="4"/>
  <c r="G29" i="4"/>
  <c r="M28" i="4"/>
  <c r="R27" i="4"/>
  <c r="J25" i="4"/>
  <c r="Q26" i="4"/>
  <c r="Q28" i="4"/>
  <c r="Q30" i="4"/>
  <c r="Q32" i="4"/>
  <c r="Y26" i="4"/>
  <c r="Y28" i="4"/>
  <c r="Y30" i="4"/>
  <c r="Y32" i="4"/>
  <c r="AG26" i="4"/>
  <c r="AG28" i="4"/>
  <c r="AG30" i="4"/>
  <c r="M35" i="4"/>
  <c r="AD34" i="4"/>
  <c r="AG33" i="4"/>
  <c r="U33" i="4"/>
  <c r="U32" i="4"/>
  <c r="AG31" i="4"/>
  <c r="Y29" i="4"/>
  <c r="AD28" i="4"/>
  <c r="Q27" i="4"/>
  <c r="V26" i="4"/>
  <c r="AE25" i="4"/>
  <c r="I25" i="4"/>
  <c r="G26" i="4"/>
  <c r="G28" i="4"/>
  <c r="G30" i="4"/>
  <c r="J26" i="4"/>
  <c r="J28" i="4"/>
  <c r="J30" i="4"/>
  <c r="R26" i="4"/>
  <c r="R28" i="4"/>
  <c r="R30" i="4"/>
  <c r="R32" i="4"/>
  <c r="R34" i="4"/>
  <c r="Z26" i="4"/>
  <c r="Z28" i="4"/>
  <c r="Z30" i="4"/>
  <c r="Z32" i="4"/>
  <c r="Z34" i="4"/>
  <c r="AE36" i="4"/>
  <c r="W36" i="4"/>
  <c r="O36" i="4"/>
  <c r="G36" i="4"/>
  <c r="AE35" i="4"/>
  <c r="W35" i="4"/>
  <c r="AC34" i="4"/>
  <c r="Q34" i="4"/>
  <c r="AF33" i="4"/>
  <c r="R33" i="4"/>
  <c r="T32" i="4"/>
  <c r="AE31" i="4"/>
  <c r="I31" i="4"/>
  <c r="N30" i="4"/>
  <c r="W29" i="4"/>
  <c r="AC28" i="4"/>
  <c r="F28" i="4"/>
  <c r="O27" i="4"/>
  <c r="U26" i="4"/>
  <c r="Z25" i="4"/>
  <c r="G25" i="4"/>
  <c r="AE26" i="4"/>
  <c r="AE28" i="4"/>
  <c r="AE30" i="4"/>
  <c r="AE32" i="4"/>
  <c r="I26" i="4"/>
  <c r="I28" i="4"/>
  <c r="I30" i="4"/>
  <c r="M29" i="4"/>
  <c r="K25" i="4"/>
  <c r="K27" i="4"/>
  <c r="K29" i="4"/>
  <c r="K31" i="4"/>
  <c r="K33" i="4"/>
  <c r="S25" i="4"/>
  <c r="S27" i="4"/>
  <c r="S29" i="4"/>
  <c r="S31" i="4"/>
  <c r="S33" i="4"/>
  <c r="AA25" i="4"/>
  <c r="AA27" i="4"/>
  <c r="AA29" i="4"/>
  <c r="AA31" i="4"/>
  <c r="AA33" i="4"/>
  <c r="AD36" i="4"/>
  <c r="V36" i="4"/>
  <c r="N36" i="4"/>
  <c r="AD35" i="4"/>
  <c r="U35" i="4"/>
  <c r="N34" i="4"/>
  <c r="AE33" i="4"/>
  <c r="Q33" i="4"/>
  <c r="AG32" i="4"/>
  <c r="S32" i="4"/>
  <c r="Z31" i="4"/>
  <c r="G31" i="4"/>
  <c r="M30" i="4"/>
  <c r="R29" i="4"/>
  <c r="AA28" i="4"/>
  <c r="AG27" i="4"/>
  <c r="J27" i="4"/>
  <c r="S26" i="4"/>
  <c r="Y25" i="4"/>
  <c r="W26" i="4"/>
  <c r="W28" i="4"/>
  <c r="W30" i="4"/>
  <c r="W32" i="4"/>
  <c r="W34" i="4"/>
  <c r="L26" i="4"/>
  <c r="L28" i="4"/>
  <c r="L30" i="4"/>
  <c r="L25" i="4"/>
  <c r="L27" i="4"/>
  <c r="L29" i="4"/>
  <c r="L31" i="4"/>
  <c r="L33" i="4"/>
  <c r="T26" i="4"/>
  <c r="T28" i="4"/>
  <c r="T30" i="4"/>
  <c r="T25" i="4"/>
  <c r="T27" i="4"/>
  <c r="T29" i="4"/>
  <c r="T31" i="4"/>
  <c r="T33" i="4"/>
  <c r="T35" i="4"/>
  <c r="AB26" i="4"/>
  <c r="AB28" i="4"/>
  <c r="AB30" i="4"/>
  <c r="AB25" i="4"/>
  <c r="AB27" i="4"/>
  <c r="AB29" i="4"/>
  <c r="AB31" i="4"/>
  <c r="AB33" i="4"/>
  <c r="AC36" i="4"/>
  <c r="M36" i="4"/>
  <c r="AC35" i="4"/>
  <c r="S35" i="4"/>
  <c r="AA34" i="4"/>
  <c r="AC33" i="4"/>
  <c r="P33" i="4"/>
  <c r="AD32" i="4"/>
  <c r="N32" i="4"/>
  <c r="Y31" i="4"/>
  <c r="K30" i="4"/>
  <c r="Q29" i="4"/>
  <c r="V28" i="4"/>
  <c r="AE27" i="4"/>
  <c r="I27" i="4"/>
  <c r="W25" i="4"/>
  <c r="AI51" i="4"/>
  <c r="M25" i="4"/>
  <c r="M27" i="4"/>
  <c r="M31" i="4"/>
  <c r="U25" i="4"/>
  <c r="U27" i="4"/>
  <c r="U29" i="4"/>
  <c r="U31" i="4"/>
  <c r="AC25" i="4"/>
  <c r="AC27" i="4"/>
  <c r="AC29" i="4"/>
  <c r="AC31" i="4"/>
  <c r="AB36" i="4"/>
  <c r="T36" i="4"/>
  <c r="L36" i="4"/>
  <c r="AB35" i="4"/>
  <c r="R35" i="4"/>
  <c r="Y34" i="4"/>
  <c r="Z33" i="4"/>
  <c r="O33" i="4"/>
  <c r="AC32" i="4"/>
  <c r="M32" i="4"/>
  <c r="W31" i="4"/>
  <c r="AC30" i="4"/>
  <c r="O29" i="4"/>
  <c r="U28" i="4"/>
  <c r="Z27" i="4"/>
  <c r="G27" i="4"/>
  <c r="M26" i="4"/>
  <c r="R25" i="4"/>
  <c r="F25" i="4"/>
  <c r="F27" i="4"/>
  <c r="F29" i="4"/>
  <c r="F31" i="4"/>
  <c r="N25" i="4"/>
  <c r="N27" i="4"/>
  <c r="N29" i="4"/>
  <c r="N31" i="4"/>
  <c r="N33" i="4"/>
  <c r="N35" i="4"/>
  <c r="V25" i="4"/>
  <c r="V27" i="4"/>
  <c r="V29" i="4"/>
  <c r="V31" i="4"/>
  <c r="V33" i="4"/>
  <c r="V35" i="4"/>
  <c r="AD25" i="4"/>
  <c r="AD27" i="4"/>
  <c r="AD29" i="4"/>
  <c r="AD31" i="4"/>
  <c r="AD33" i="4"/>
  <c r="I32" i="4"/>
  <c r="AA36" i="4"/>
  <c r="S36" i="4"/>
  <c r="AA35" i="4"/>
  <c r="Q35" i="4"/>
  <c r="V34" i="4"/>
  <c r="Y33" i="4"/>
  <c r="M33" i="4"/>
  <c r="AB32" i="4"/>
  <c r="R31" i="4"/>
  <c r="AA30" i="4"/>
  <c r="AG29" i="4"/>
  <c r="J29" i="4"/>
  <c r="S28" i="4"/>
  <c r="Y27" i="4"/>
  <c r="AD26" i="4"/>
  <c r="K26" i="4"/>
  <c r="Q25" i="4"/>
  <c r="AI55" i="4"/>
  <c r="M56" i="4"/>
  <c r="AI8" i="4"/>
  <c r="M19" i="4"/>
  <c r="AI14" i="4"/>
  <c r="N19" i="4"/>
  <c r="P19" i="4"/>
  <c r="Q19" i="4"/>
  <c r="R19" i="4"/>
  <c r="AI18" i="4"/>
  <c r="Y74" i="4" l="1"/>
  <c r="Q74" i="4"/>
  <c r="AG74" i="4"/>
  <c r="AI69" i="4"/>
  <c r="AD74" i="4"/>
  <c r="AB74" i="4"/>
  <c r="V74" i="4"/>
  <c r="M74" i="4"/>
  <c r="T74" i="4"/>
  <c r="AA74" i="4"/>
  <c r="AE74" i="4"/>
  <c r="N74" i="4"/>
  <c r="S74" i="4"/>
  <c r="W74" i="4"/>
  <c r="Z74" i="4"/>
  <c r="AF74" i="4"/>
  <c r="O74" i="4"/>
  <c r="R74" i="4"/>
  <c r="X74" i="4"/>
  <c r="P74" i="4"/>
  <c r="AI73" i="4"/>
  <c r="AC74" i="4"/>
  <c r="U74" i="4"/>
  <c r="AA37" i="4"/>
  <c r="P37" i="4"/>
  <c r="AG37" i="4"/>
  <c r="X37" i="4"/>
  <c r="Z37" i="4"/>
  <c r="S37" i="4"/>
  <c r="AF37" i="4"/>
  <c r="N37" i="4"/>
  <c r="Q37" i="4"/>
  <c r="Y37" i="4"/>
  <c r="R37" i="4"/>
  <c r="O37" i="4"/>
  <c r="AE37" i="4"/>
  <c r="T37" i="4"/>
  <c r="AB37" i="4"/>
  <c r="AI32" i="4"/>
  <c r="W37" i="4"/>
  <c r="AC37" i="4"/>
  <c r="V37" i="4"/>
  <c r="U37" i="4"/>
  <c r="M37" i="4"/>
  <c r="AD37" i="4"/>
  <c r="AI26" i="4"/>
  <c r="AI36" i="4"/>
  <c r="E11" i="2" l="1"/>
  <c r="E10" i="2"/>
  <c r="E50" i="4" s="1"/>
  <c r="C70" i="1"/>
  <c r="C67" i="1"/>
  <c r="C65" i="1"/>
  <c r="C62" i="1"/>
  <c r="B68" i="1"/>
  <c r="C68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B71" i="1"/>
  <c r="C71" i="1" s="1"/>
  <c r="F80" i="1" s="1"/>
  <c r="F81" i="1" s="1"/>
  <c r="F82" i="1" s="1"/>
  <c r="F83" i="1" s="1"/>
  <c r="F84" i="1" s="1"/>
  <c r="F85" i="1" s="1"/>
  <c r="F86" i="1" s="1"/>
  <c r="F87" i="1" s="1"/>
  <c r="F88" i="1" s="1"/>
  <c r="E54" i="4" l="1"/>
  <c r="E72" i="4" s="1"/>
  <c r="E68" i="4"/>
  <c r="AI68" i="4" s="1"/>
  <c r="AI50" i="4"/>
  <c r="F89" i="1"/>
  <c r="C81" i="1"/>
  <c r="F54" i="4" s="1"/>
  <c r="F72" i="4" s="1"/>
  <c r="C82" i="1" l="1"/>
  <c r="F90" i="1"/>
  <c r="E29" i="2"/>
  <c r="I7" i="1"/>
  <c r="C83" i="1" l="1"/>
  <c r="F91" i="1"/>
  <c r="H42" i="1"/>
  <c r="E98" i="2"/>
  <c r="E4" i="2"/>
  <c r="H10" i="1"/>
  <c r="I6" i="1"/>
  <c r="I5" i="1"/>
  <c r="I4" i="1"/>
  <c r="H4" i="1"/>
  <c r="H6" i="1"/>
  <c r="G54" i="4" l="1"/>
  <c r="G72" i="4" s="1"/>
  <c r="C84" i="1"/>
  <c r="H54" i="4"/>
  <c r="H72" i="4" s="1"/>
  <c r="E44" i="4"/>
  <c r="E6" i="2"/>
  <c r="E46" i="4" s="1"/>
  <c r="F92" i="1"/>
  <c r="F98" i="2"/>
  <c r="C85" i="1" l="1"/>
  <c r="AI46" i="4"/>
  <c r="E64" i="4"/>
  <c r="AI64" i="4" s="1"/>
  <c r="F93" i="1"/>
  <c r="AI44" i="4"/>
  <c r="E62" i="4"/>
  <c r="C105" i="2"/>
  <c r="E105" i="2"/>
  <c r="C10" i="2"/>
  <c r="E13" i="4" s="1"/>
  <c r="I54" i="4" l="1"/>
  <c r="I72" i="4" s="1"/>
  <c r="C86" i="1"/>
  <c r="J54" i="4"/>
  <c r="J72" i="4" s="1"/>
  <c r="AI62" i="4"/>
  <c r="AI13" i="4"/>
  <c r="E31" i="4"/>
  <c r="AI31" i="4" s="1"/>
  <c r="F94" i="1"/>
  <c r="F105" i="2"/>
  <c r="D105" i="2"/>
  <c r="E104" i="2"/>
  <c r="C104" i="2"/>
  <c r="C87" i="1" l="1"/>
  <c r="F95" i="1"/>
  <c r="D104" i="2"/>
  <c r="F104" i="2"/>
  <c r="C22" i="1"/>
  <c r="C88" i="1" l="1"/>
  <c r="L54" i="4"/>
  <c r="K54" i="4"/>
  <c r="K72" i="4" s="1"/>
  <c r="E14" i="2"/>
  <c r="F96" i="1"/>
  <c r="E30" i="2"/>
  <c r="E9" i="2"/>
  <c r="E49" i="4" s="1"/>
  <c r="E67" i="4" s="1"/>
  <c r="AI67" i="4" s="1"/>
  <c r="E8" i="2"/>
  <c r="E48" i="4" s="1"/>
  <c r="E7" i="2"/>
  <c r="AI54" i="4" l="1"/>
  <c r="L72" i="4"/>
  <c r="C89" i="1"/>
  <c r="E47" i="4"/>
  <c r="G52" i="4"/>
  <c r="I52" i="4"/>
  <c r="H52" i="4"/>
  <c r="E52" i="4"/>
  <c r="E12" i="2"/>
  <c r="F52" i="4"/>
  <c r="AI48" i="4"/>
  <c r="E66" i="4"/>
  <c r="AI66" i="4" s="1"/>
  <c r="F97" i="1"/>
  <c r="E102" i="2"/>
  <c r="E101" i="2"/>
  <c r="E103" i="2"/>
  <c r="C90" i="1" l="1"/>
  <c r="AI72" i="4"/>
  <c r="F70" i="4"/>
  <c r="E70" i="4"/>
  <c r="AI52" i="4"/>
  <c r="I70" i="4"/>
  <c r="AI47" i="4"/>
  <c r="E65" i="4"/>
  <c r="AI65" i="4" s="1"/>
  <c r="H70" i="4"/>
  <c r="F98" i="1"/>
  <c r="G70" i="4"/>
  <c r="F103" i="2"/>
  <c r="F101" i="2"/>
  <c r="F102" i="2"/>
  <c r="C8" i="1"/>
  <c r="C9" i="1"/>
  <c r="C21" i="1" s="1"/>
  <c r="C44" i="1"/>
  <c r="C7" i="1"/>
  <c r="E16" i="4" l="1"/>
  <c r="G16" i="4"/>
  <c r="G34" i="4" s="1"/>
  <c r="H16" i="4"/>
  <c r="H34" i="4" s="1"/>
  <c r="I16" i="4"/>
  <c r="I34" i="4" s="1"/>
  <c r="J16" i="4"/>
  <c r="K16" i="4"/>
  <c r="L16" i="4"/>
  <c r="F16" i="4"/>
  <c r="F34" i="4" s="1"/>
  <c r="H8" i="1"/>
  <c r="C91" i="1"/>
  <c r="AI70" i="4"/>
  <c r="F99" i="1"/>
  <c r="C45" i="1"/>
  <c r="H11" i="1"/>
  <c r="C20" i="1"/>
  <c r="J34" i="4" l="1"/>
  <c r="C92" i="1"/>
  <c r="E34" i="4"/>
  <c r="AI16" i="4"/>
  <c r="L34" i="4"/>
  <c r="J53" i="4"/>
  <c r="K53" i="4"/>
  <c r="L53" i="4"/>
  <c r="E53" i="4"/>
  <c r="F53" i="4"/>
  <c r="G53" i="4"/>
  <c r="I53" i="4"/>
  <c r="H53" i="4"/>
  <c r="I8" i="1"/>
  <c r="K34" i="4"/>
  <c r="F100" i="1"/>
  <c r="E5" i="2"/>
  <c r="C4" i="2"/>
  <c r="C46" i="1"/>
  <c r="C43" i="1"/>
  <c r="AI34" i="4" l="1"/>
  <c r="E71" i="4"/>
  <c r="AI53" i="4"/>
  <c r="K71" i="4"/>
  <c r="K74" i="4" s="1"/>
  <c r="K56" i="4"/>
  <c r="J71" i="4"/>
  <c r="J74" i="4" s="1"/>
  <c r="J56" i="4"/>
  <c r="C93" i="1"/>
  <c r="G71" i="4"/>
  <c r="G74" i="4" s="1"/>
  <c r="G56" i="4"/>
  <c r="F71" i="4"/>
  <c r="F74" i="4" s="1"/>
  <c r="F56" i="4"/>
  <c r="L71" i="4"/>
  <c r="L74" i="4" s="1"/>
  <c r="L56" i="4"/>
  <c r="H71" i="4"/>
  <c r="H74" i="4" s="1"/>
  <c r="H56" i="4"/>
  <c r="E13" i="2"/>
  <c r="E21" i="2" s="1"/>
  <c r="C139" i="1"/>
  <c r="C141" i="1" s="1"/>
  <c r="I71" i="4"/>
  <c r="I74" i="4" s="1"/>
  <c r="I56" i="4"/>
  <c r="E45" i="4"/>
  <c r="E7" i="4"/>
  <c r="F101" i="1"/>
  <c r="D38" i="2"/>
  <c r="F123" i="2" s="1"/>
  <c r="D45" i="2"/>
  <c r="F130" i="2" s="1"/>
  <c r="D44" i="2"/>
  <c r="F129" i="2" s="1"/>
  <c r="D40" i="2"/>
  <c r="D42" i="2"/>
  <c r="F127" i="2" s="1"/>
  <c r="D43" i="2"/>
  <c r="F128" i="2" s="1"/>
  <c r="D41" i="2"/>
  <c r="F126" i="2" s="1"/>
  <c r="C8" i="2"/>
  <c r="E11" i="4" s="1"/>
  <c r="C6" i="2"/>
  <c r="E9" i="4" s="1"/>
  <c r="C9" i="2"/>
  <c r="E12" i="4" s="1"/>
  <c r="C7" i="2"/>
  <c r="E10" i="4" s="1"/>
  <c r="D47" i="2"/>
  <c r="D39" i="2"/>
  <c r="E99" i="2"/>
  <c r="D37" i="2"/>
  <c r="F122" i="2" s="1"/>
  <c r="B141" i="2"/>
  <c r="C99" i="2"/>
  <c r="D99" i="2" s="1"/>
  <c r="C94" i="1" l="1"/>
  <c r="AI71" i="4"/>
  <c r="C12" i="2"/>
  <c r="AI7" i="4"/>
  <c r="E25" i="4"/>
  <c r="AI12" i="4"/>
  <c r="E30" i="4"/>
  <c r="AI30" i="4" s="1"/>
  <c r="F15" i="4"/>
  <c r="AI11" i="4"/>
  <c r="E29" i="4"/>
  <c r="AI29" i="4" s="1"/>
  <c r="G15" i="4"/>
  <c r="F102" i="1"/>
  <c r="E27" i="4"/>
  <c r="AI27" i="4" s="1"/>
  <c r="AI9" i="4"/>
  <c r="E15" i="4"/>
  <c r="H15" i="4"/>
  <c r="AI10" i="4"/>
  <c r="E28" i="4"/>
  <c r="AI28" i="4" s="1"/>
  <c r="I15" i="4"/>
  <c r="E63" i="4"/>
  <c r="AI45" i="4"/>
  <c r="F99" i="2"/>
  <c r="B155" i="2"/>
  <c r="E167" i="2"/>
  <c r="F39" i="2"/>
  <c r="C101" i="2"/>
  <c r="D46" i="2"/>
  <c r="F131" i="2" s="1"/>
  <c r="E106" i="2"/>
  <c r="C103" i="2"/>
  <c r="C102" i="2"/>
  <c r="F37" i="2"/>
  <c r="G39" i="2"/>
  <c r="G37" i="2"/>
  <c r="B142" i="2"/>
  <c r="H43" i="1"/>
  <c r="G123" i="2" s="1"/>
  <c r="B140" i="2"/>
  <c r="I43" i="1"/>
  <c r="H45" i="1"/>
  <c r="H46" i="1" s="1"/>
  <c r="I42" i="1"/>
  <c r="I45" i="1"/>
  <c r="I46" i="1" s="1"/>
  <c r="C95" i="1" l="1"/>
  <c r="F33" i="4"/>
  <c r="AI63" i="4"/>
  <c r="E74" i="4"/>
  <c r="AI74" i="4" s="1"/>
  <c r="AI25" i="4"/>
  <c r="I33" i="4"/>
  <c r="F103" i="1"/>
  <c r="AI15" i="4"/>
  <c r="E33" i="4"/>
  <c r="H33" i="4"/>
  <c r="G33" i="4"/>
  <c r="B154" i="2"/>
  <c r="E166" i="2"/>
  <c r="B156" i="2"/>
  <c r="E168" i="2"/>
  <c r="H123" i="2"/>
  <c r="D130" i="2"/>
  <c r="D129" i="2"/>
  <c r="E130" i="2"/>
  <c r="E129" i="2"/>
  <c r="G130" i="2"/>
  <c r="G129" i="2"/>
  <c r="G128" i="2"/>
  <c r="G127" i="2"/>
  <c r="G126" i="2"/>
  <c r="H130" i="2"/>
  <c r="H129" i="2"/>
  <c r="H127" i="2"/>
  <c r="H126" i="2"/>
  <c r="H128" i="2"/>
  <c r="F38" i="2"/>
  <c r="D101" i="2"/>
  <c r="E126" i="2" s="1"/>
  <c r="D126" i="2"/>
  <c r="D102" i="2"/>
  <c r="E127" i="2" s="1"/>
  <c r="D127" i="2"/>
  <c r="D103" i="2"/>
  <c r="E128" i="2" s="1"/>
  <c r="D128" i="2"/>
  <c r="F106" i="2"/>
  <c r="H131" i="2" s="1"/>
  <c r="G131" i="2"/>
  <c r="C106" i="2"/>
  <c r="H39" i="2"/>
  <c r="H37" i="2"/>
  <c r="G38" i="2"/>
  <c r="D107" i="2"/>
  <c r="E132" i="2" s="1"/>
  <c r="H124" i="2"/>
  <c r="F139" i="1"/>
  <c r="C107" i="2"/>
  <c r="D132" i="2" s="1"/>
  <c r="E107" i="2"/>
  <c r="H139" i="1"/>
  <c r="E109" i="2" s="1"/>
  <c r="G139" i="1"/>
  <c r="D109" i="2" s="1"/>
  <c r="F107" i="2"/>
  <c r="I139" i="1"/>
  <c r="F109" i="2" s="1"/>
  <c r="E124" i="2"/>
  <c r="G124" i="2"/>
  <c r="D124" i="2"/>
  <c r="C96" i="1" l="1"/>
  <c r="AI33" i="4"/>
  <c r="F104" i="1"/>
  <c r="D106" i="2"/>
  <c r="E131" i="2" s="1"/>
  <c r="D131" i="2"/>
  <c r="C109" i="2"/>
  <c r="E134" i="2"/>
  <c r="G134" i="2"/>
  <c r="H134" i="2"/>
  <c r="E97" i="2"/>
  <c r="C97" i="1" l="1"/>
  <c r="F105" i="1"/>
  <c r="D134" i="2"/>
  <c r="F97" i="2"/>
  <c r="G122" i="2"/>
  <c r="C42" i="1"/>
  <c r="C38" i="2" l="1"/>
  <c r="C123" i="2" s="1"/>
  <c r="C138" i="1"/>
  <c r="C140" i="1" s="1"/>
  <c r="C18" i="2" s="1"/>
  <c r="C98" i="1"/>
  <c r="F106" i="1"/>
  <c r="H122" i="2"/>
  <c r="C45" i="2"/>
  <c r="C130" i="2" s="1"/>
  <c r="C13" i="2"/>
  <c r="C47" i="2" s="1"/>
  <c r="C132" i="2" s="1"/>
  <c r="C44" i="2"/>
  <c r="C129" i="2" s="1"/>
  <c r="C40" i="2"/>
  <c r="C42" i="2"/>
  <c r="C127" i="2" s="1"/>
  <c r="C41" i="2"/>
  <c r="C126" i="2" s="1"/>
  <c r="C43" i="2"/>
  <c r="C128" i="2" s="1"/>
  <c r="C46" i="2"/>
  <c r="C131" i="2" s="1"/>
  <c r="C39" i="2"/>
  <c r="C37" i="2"/>
  <c r="C122" i="2" s="1"/>
  <c r="F125" i="2"/>
  <c r="E100" i="2"/>
  <c r="C97" i="2"/>
  <c r="C98" i="2" s="1"/>
  <c r="D98" i="2" s="1"/>
  <c r="E18" i="2"/>
  <c r="D49" i="2" s="1"/>
  <c r="C100" i="2"/>
  <c r="D125" i="2" s="1"/>
  <c r="C99" i="1" l="1"/>
  <c r="F107" i="1"/>
  <c r="D122" i="2"/>
  <c r="C124" i="2"/>
  <c r="C49" i="2"/>
  <c r="C134" i="2" s="1"/>
  <c r="F100" i="2"/>
  <c r="H125" i="2" s="1"/>
  <c r="G125" i="2"/>
  <c r="H132" i="2"/>
  <c r="G132" i="2"/>
  <c r="D100" i="2"/>
  <c r="E125" i="2" s="1"/>
  <c r="D97" i="2"/>
  <c r="C125" i="2"/>
  <c r="F132" i="2"/>
  <c r="F134" i="2"/>
  <c r="F124" i="2"/>
  <c r="C100" i="1" l="1"/>
  <c r="F108" i="1"/>
  <c r="E123" i="2"/>
  <c r="D123" i="2"/>
  <c r="E122" i="2"/>
  <c r="C101" i="1" l="1"/>
  <c r="H38" i="2"/>
  <c r="C102" i="1" l="1"/>
  <c r="C144" i="2"/>
  <c r="C146" i="2"/>
  <c r="D146" i="2"/>
  <c r="D144" i="2"/>
  <c r="C103" i="1" l="1"/>
  <c r="D147" i="2"/>
  <c r="C145" i="2"/>
  <c r="C104" i="1" l="1"/>
  <c r="D145" i="2"/>
  <c r="C105" i="1" l="1"/>
  <c r="B80" i="1"/>
  <c r="L80" i="1" l="1"/>
  <c r="K80" i="1"/>
  <c r="H80" i="1"/>
  <c r="E17" i="4" s="1"/>
  <c r="C106" i="1"/>
  <c r="B81" i="1"/>
  <c r="H81" i="1" l="1"/>
  <c r="F17" i="4" s="1"/>
  <c r="L81" i="1"/>
  <c r="K81" i="1"/>
  <c r="C107" i="1"/>
  <c r="E35" i="4"/>
  <c r="E19" i="4"/>
  <c r="B82" i="1"/>
  <c r="C108" i="1" l="1"/>
  <c r="L82" i="1"/>
  <c r="K82" i="1"/>
  <c r="H82" i="1"/>
  <c r="G17" i="4" s="1"/>
  <c r="E37" i="4"/>
  <c r="F35" i="4"/>
  <c r="F37" i="4" s="1"/>
  <c r="F19" i="4"/>
  <c r="B83" i="1"/>
  <c r="G35" i="4" l="1"/>
  <c r="G37" i="4" s="1"/>
  <c r="G19" i="4"/>
  <c r="K83" i="1"/>
  <c r="H83" i="1"/>
  <c r="H17" i="4" s="1"/>
  <c r="L83" i="1"/>
  <c r="B84" i="1"/>
  <c r="H35" i="4" l="1"/>
  <c r="H19" i="4"/>
  <c r="H84" i="1"/>
  <c r="I17" i="4" s="1"/>
  <c r="L84" i="1"/>
  <c r="K84" i="1"/>
  <c r="B85" i="1"/>
  <c r="K85" i="1" l="1"/>
  <c r="H85" i="1"/>
  <c r="J17" i="4" s="1"/>
  <c r="L85" i="1"/>
  <c r="I35" i="4"/>
  <c r="I37" i="4" s="1"/>
  <c r="I19" i="4"/>
  <c r="H37" i="4"/>
  <c r="B86" i="1"/>
  <c r="K86" i="1" l="1"/>
  <c r="H86" i="1"/>
  <c r="K17" i="4" s="1"/>
  <c r="L86" i="1"/>
  <c r="J35" i="4"/>
  <c r="J19" i="4"/>
  <c r="B87" i="1"/>
  <c r="F108" i="2"/>
  <c r="E108" i="2"/>
  <c r="J37" i="4" l="1"/>
  <c r="K35" i="4"/>
  <c r="K37" i="4" s="1"/>
  <c r="K19" i="4"/>
  <c r="L87" i="1"/>
  <c r="K87" i="1"/>
  <c r="H87" i="1"/>
  <c r="L17" i="4" s="1"/>
  <c r="B88" i="1"/>
  <c r="E110" i="2"/>
  <c r="E111" i="2"/>
  <c r="G133" i="2"/>
  <c r="H133" i="2"/>
  <c r="F111" i="2"/>
  <c r="E15" i="2"/>
  <c r="E19" i="2" s="1"/>
  <c r="E22" i="2"/>
  <c r="F11" i="2"/>
  <c r="F9" i="2"/>
  <c r="F13" i="2"/>
  <c r="F4" i="2"/>
  <c r="F14" i="2"/>
  <c r="F5" i="2"/>
  <c r="F10" i="2"/>
  <c r="F12" i="2"/>
  <c r="D48" i="2"/>
  <c r="F133" i="2" s="1"/>
  <c r="F8" i="2"/>
  <c r="F6" i="2"/>
  <c r="F7" i="2"/>
  <c r="L35" i="4" l="1"/>
  <c r="L37" i="4" s="1"/>
  <c r="L19" i="4"/>
  <c r="AI19" i="4" s="1"/>
  <c r="AI17" i="4"/>
  <c r="AI35" i="4"/>
  <c r="K88" i="1"/>
  <c r="H88" i="1"/>
  <c r="L88" i="1"/>
  <c r="AI37" i="4"/>
  <c r="B89" i="1"/>
  <c r="G136" i="2"/>
  <c r="D156" i="2" s="1"/>
  <c r="G135" i="2"/>
  <c r="D142" i="2" s="1"/>
  <c r="F136" i="2"/>
  <c r="D155" i="2" s="1"/>
  <c r="F135" i="2"/>
  <c r="D141" i="2" s="1"/>
  <c r="E16" i="2"/>
  <c r="H136" i="2"/>
  <c r="D154" i="2" s="1"/>
  <c r="H135" i="2"/>
  <c r="D140" i="2" s="1"/>
  <c r="E115" i="2"/>
  <c r="E116" i="2" s="1"/>
  <c r="E112" i="2"/>
  <c r="F112" i="2"/>
  <c r="F115" i="2"/>
  <c r="F116" i="2" s="1"/>
  <c r="H89" i="1" l="1"/>
  <c r="L89" i="1"/>
  <c r="K89" i="1"/>
  <c r="B90" i="1"/>
  <c r="K167" i="2"/>
  <c r="J167" i="2" s="1"/>
  <c r="F141" i="2"/>
  <c r="F146" i="2"/>
  <c r="F144" i="2"/>
  <c r="F145" i="2"/>
  <c r="I167" i="2"/>
  <c r="H167" i="2" s="1"/>
  <c r="F155" i="2"/>
  <c r="E25" i="2"/>
  <c r="E26" i="2" s="1"/>
  <c r="E20" i="2"/>
  <c r="K168" i="2"/>
  <c r="J168" i="2" s="1"/>
  <c r="F142" i="2"/>
  <c r="K166" i="2"/>
  <c r="J166" i="2" s="1"/>
  <c r="F140" i="2"/>
  <c r="I166" i="2"/>
  <c r="H166" i="2" s="1"/>
  <c r="F154" i="2"/>
  <c r="I168" i="2"/>
  <c r="H168" i="2" s="1"/>
  <c r="F156" i="2"/>
  <c r="L90" i="1" l="1"/>
  <c r="H90" i="1"/>
  <c r="K90" i="1"/>
  <c r="B91" i="1"/>
  <c r="K91" i="1" l="1"/>
  <c r="H91" i="1"/>
  <c r="L91" i="1"/>
  <c r="B92" i="1"/>
  <c r="H92" i="1" l="1"/>
  <c r="K92" i="1"/>
  <c r="L92" i="1"/>
  <c r="B93" i="1"/>
  <c r="K93" i="1" l="1"/>
  <c r="H93" i="1"/>
  <c r="L93" i="1"/>
  <c r="B94" i="1"/>
  <c r="K94" i="1" l="1"/>
  <c r="H94" i="1"/>
  <c r="L94" i="1"/>
  <c r="B95" i="1"/>
  <c r="L95" i="1" l="1"/>
  <c r="K95" i="1"/>
  <c r="H95" i="1"/>
  <c r="B96" i="1"/>
  <c r="L96" i="1" l="1"/>
  <c r="K96" i="1"/>
  <c r="H96" i="1"/>
  <c r="B97" i="1"/>
  <c r="H97" i="1" l="1"/>
  <c r="L97" i="1"/>
  <c r="K97" i="1"/>
  <c r="B98" i="1"/>
  <c r="L98" i="1" l="1"/>
  <c r="K98" i="1"/>
  <c r="H98" i="1"/>
  <c r="B99" i="1"/>
  <c r="K99" i="1" l="1"/>
  <c r="H99" i="1"/>
  <c r="L99" i="1"/>
  <c r="B100" i="1"/>
  <c r="H100" i="1" l="1"/>
  <c r="L100" i="1"/>
  <c r="K100" i="1"/>
  <c r="B101" i="1"/>
  <c r="K101" i="1" l="1"/>
  <c r="H101" i="1"/>
  <c r="L101" i="1"/>
  <c r="B102" i="1"/>
  <c r="K102" i="1" l="1"/>
  <c r="H102" i="1"/>
  <c r="L102" i="1"/>
  <c r="B103" i="1"/>
  <c r="L103" i="1" l="1"/>
  <c r="K103" i="1"/>
  <c r="H103" i="1"/>
  <c r="B104" i="1"/>
  <c r="K104" i="1" l="1"/>
  <c r="H104" i="1"/>
  <c r="L104" i="1"/>
  <c r="B105" i="1"/>
  <c r="H105" i="1" l="1"/>
  <c r="L105" i="1"/>
  <c r="K105" i="1"/>
  <c r="B106" i="1"/>
  <c r="L106" i="1" l="1"/>
  <c r="H106" i="1"/>
  <c r="K106" i="1"/>
  <c r="B107" i="1"/>
  <c r="K107" i="1" l="1"/>
  <c r="H107" i="1"/>
  <c r="L107" i="1"/>
  <c r="B108" i="1"/>
  <c r="D108" i="2"/>
  <c r="D111" i="2" s="1"/>
  <c r="C108" i="2"/>
  <c r="C111" i="2" s="1"/>
  <c r="C14" i="2"/>
  <c r="D8" i="2" s="1"/>
  <c r="H108" i="1" l="1"/>
  <c r="K108" i="1"/>
  <c r="L108" i="1"/>
  <c r="D14" i="2"/>
  <c r="D12" i="2"/>
  <c r="C110" i="2"/>
  <c r="C15" i="2"/>
  <c r="D115" i="2"/>
  <c r="D116" i="2" s="1"/>
  <c r="D112" i="2"/>
  <c r="C112" i="2"/>
  <c r="C115" i="2"/>
  <c r="C116" i="2" s="1"/>
  <c r="C48" i="2"/>
  <c r="D10" i="2"/>
  <c r="D6" i="2"/>
  <c r="C21" i="2"/>
  <c r="C22" i="2" s="1"/>
  <c r="D11" i="2"/>
  <c r="D133" i="2"/>
  <c r="D4" i="2"/>
  <c r="D13" i="2"/>
  <c r="D9" i="2"/>
  <c r="D5" i="2"/>
  <c r="E133" i="2"/>
  <c r="D7" i="2"/>
  <c r="C19" i="2" l="1"/>
  <c r="C25" i="2" s="1"/>
  <c r="C26" i="2" s="1"/>
  <c r="AI49" i="4"/>
  <c r="E56" i="4"/>
  <c r="AI56" i="4" s="1"/>
  <c r="C133" i="2"/>
  <c r="C136" i="2" s="1"/>
  <c r="C155" i="2" s="1"/>
  <c r="C16" i="2"/>
  <c r="E135" i="2"/>
  <c r="C140" i="2" s="1"/>
  <c r="E136" i="2"/>
  <c r="C154" i="2" s="1"/>
  <c r="D136" i="2"/>
  <c r="C156" i="2" s="1"/>
  <c r="D135" i="2"/>
  <c r="C142" i="2" s="1"/>
  <c r="C20" i="2" l="1"/>
  <c r="C135" i="2"/>
  <c r="C141" i="2" s="1"/>
  <c r="E144" i="2" s="1"/>
  <c r="G168" i="2"/>
  <c r="F168" i="2" s="1"/>
  <c r="G166" i="2"/>
  <c r="F166" i="2" s="1"/>
  <c r="E154" i="2" l="1"/>
  <c r="E141" i="2"/>
  <c r="G167" i="2"/>
  <c r="F167" i="2" s="1"/>
  <c r="E146" i="2"/>
  <c r="E155" i="2"/>
  <c r="E145" i="2"/>
  <c r="E140" i="2"/>
  <c r="E156" i="2"/>
  <c r="E1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  <author>tc={F07ABD1B-7CD7-4EA0-8B4F-5E2097EA047B}</author>
  </authors>
  <commentList>
    <comment ref="A65" authorId="0" shapeId="0" xr:uid="{FF3F617F-32B2-46E8-849B-5503C337204A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F66" authorId="0" shapeId="0" xr:uid="{5E4A5F5A-EAE0-4A85-84EC-B803CF2DF393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67" authorId="0" shapeId="0" xr:uid="{B7667D70-141D-4C4D-9B94-6FA0A0D88DDA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70" authorId="0" shapeId="0" xr:uid="{753AA66C-433F-49C2-9FAE-F5C670445540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C78" authorId="1" shapeId="0" xr:uid="{48E2734A-87B1-4A48-811B-C9BFC7DE6D02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8" authorId="1" shapeId="0" xr:uid="{771F2514-2A9C-482B-B253-BD52FED0069E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  <comment ref="E78" authorId="1" shapeId="0" xr:uid="{2DFB4DEC-F6CA-4828-B08B-AA2EF011CF4C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78" authorId="1" shapeId="0" xr:uid="{74690661-F781-4DFE-8E66-E8267C9D27BB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A129" authorId="2" shapeId="0" xr:uid="{F07ABD1B-7CD7-4EA0-8B4F-5E2097EA04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30 cupos aun disponibles en Montevideo</t>
      </text>
    </comment>
  </commentList>
</comments>
</file>

<file path=xl/sharedStrings.xml><?xml version="1.0" encoding="utf-8"?>
<sst xmlns="http://schemas.openxmlformats.org/spreadsheetml/2006/main" count="554" uniqueCount="235">
  <si>
    <t>Parameter</t>
  </si>
  <si>
    <t>CAPEX</t>
  </si>
  <si>
    <t>Unit</t>
  </si>
  <si>
    <t>USD</t>
  </si>
  <si>
    <t>L/100km</t>
  </si>
  <si>
    <t>USD/km</t>
  </si>
  <si>
    <t>Value</t>
  </si>
  <si>
    <t>kWh/km</t>
  </si>
  <si>
    <t>%CAPEX</t>
  </si>
  <si>
    <t>USD/kWh</t>
  </si>
  <si>
    <t>kWh</t>
  </si>
  <si>
    <t>km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</si>
  <si>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</si>
  <si>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</si>
  <si>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</si>
  <si>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</si>
  <si>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</si>
  <si>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</si>
  <si>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</si>
  <si>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</si>
  <si>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</si>
  <si>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</si>
  <si>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</si>
  <si>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</si>
  <si>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</si>
  <si>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BEV</t>
  </si>
  <si>
    <t>E-Taxi</t>
  </si>
  <si>
    <t>KWh</t>
  </si>
  <si>
    <t>Gasolina Super</t>
  </si>
  <si>
    <t>e-Taxi</t>
  </si>
  <si>
    <t>IMM 2019</t>
  </si>
  <si>
    <t>https://montevideo.gub.uy/sites/default/files/biblioteca/informefinalt.oneroso12032019_0.pdf</t>
  </si>
  <si>
    <t>BROU 2020</t>
  </si>
  <si>
    <t>https://www.brou.com.uy/documents/20182/49226/Tasas_20160905.pdf/3c2a1575-f48e-440d-bd97-f4a87fb1619e</t>
  </si>
  <si>
    <t>USD/taxi</t>
  </si>
  <si>
    <t>https://montevideo.gub.uy/noticias/movilidad-y-transporte/nueva-convocatoria-para-taxis-100-electricos#:~:text=Subsidio%20para%20el%20recambio%20de,Administraci%C3%B3n%20del%20Transporte%20(Ejido%201290)</t>
  </si>
  <si>
    <t>IM 2019</t>
  </si>
  <si>
    <t>e-Taxi 2030</t>
  </si>
  <si>
    <t>ICE 2030</t>
  </si>
  <si>
    <t>CEPAL 2019</t>
  </si>
  <si>
    <t>https://repositorio.cepal.org/bitstream/handle/11362/44592/1/S1900191_es.pdf</t>
  </si>
  <si>
    <t>https://montevideo.gub.uy/noticias/movilidad-y-transporte/nueva-convocatoria-para-taxis-100-electricos</t>
  </si>
  <si>
    <t>-</t>
  </si>
  <si>
    <t>Equity</t>
  </si>
  <si>
    <t>1 - Información del vehículo</t>
  </si>
  <si>
    <t>Taxi a gasolina</t>
  </si>
  <si>
    <t>Parámetro</t>
  </si>
  <si>
    <t>Unidad</t>
  </si>
  <si>
    <t>Valor</t>
  </si>
  <si>
    <t>Fuente</t>
  </si>
  <si>
    <t>Vida útil</t>
  </si>
  <si>
    <t>años</t>
  </si>
  <si>
    <t>Eficiencia vehicular</t>
  </si>
  <si>
    <t>Uso de llantas</t>
  </si>
  <si>
    <t>Costos de mantenimiento</t>
  </si>
  <si>
    <t>Reparaciones y repuestos</t>
  </si>
  <si>
    <t>Tamaño de la batería</t>
  </si>
  <si>
    <t>Vida útil de la batería</t>
  </si>
  <si>
    <t>Max. Basado en la edad de la batería</t>
  </si>
  <si>
    <t>70% SOC</t>
  </si>
  <si>
    <t>10% más de costo de los neumáticos debido a la diferencia de peso</t>
  </si>
  <si>
    <t>20% menos de costo de reparación</t>
  </si>
  <si>
    <t>70% menos de mantenimiento</t>
  </si>
  <si>
    <t>CAPEX cargador para casa</t>
  </si>
  <si>
    <t>Vida útil del cargador</t>
  </si>
  <si>
    <t>Proporción de carga rápida pública</t>
  </si>
  <si>
    <t>año</t>
  </si>
  <si>
    <t>Basado en GC</t>
  </si>
  <si>
    <t>7.4kW, incluye instalación de caja de pared</t>
  </si>
  <si>
    <t>Valor estándar</t>
  </si>
  <si>
    <t>Proyección CAPEX</t>
  </si>
  <si>
    <t>2 - Datos de actividad</t>
  </si>
  <si>
    <t>Kilómetros por año</t>
  </si>
  <si>
    <t>km/año</t>
  </si>
  <si>
    <t>Total kilómetros ICE</t>
  </si>
  <si>
    <t>Total kilómetros BEV</t>
  </si>
  <si>
    <t>Días operativos por año</t>
  </si>
  <si>
    <t>días/año</t>
  </si>
  <si>
    <t>Recorrido diario</t>
  </si>
  <si>
    <t>Consumo de energía diario</t>
  </si>
  <si>
    <t>Calculado</t>
  </si>
  <si>
    <t>Proporción de la financiación de la deuda</t>
  </si>
  <si>
    <t>Tenencia del préstamo</t>
  </si>
  <si>
    <t>Tasa de interés ICE</t>
  </si>
  <si>
    <t>%/año</t>
  </si>
  <si>
    <t>Tasa de interés BEV</t>
  </si>
  <si>
    <t>Moneda local a USD</t>
  </si>
  <si>
    <t>Mon. local/USD</t>
  </si>
  <si>
    <t>4 - Costos de energía</t>
  </si>
  <si>
    <t>Carga E-Taxi</t>
  </si>
  <si>
    <t>3 - Costos de financiamiento</t>
  </si>
  <si>
    <t>Gasolina</t>
  </si>
  <si>
    <t>Electricidad - carga en casa</t>
  </si>
  <si>
    <t>Electricidad - cargador rápido público</t>
  </si>
  <si>
    <t>5 - Impuestos</t>
  </si>
  <si>
    <t>Tasa consular</t>
  </si>
  <si>
    <t>IVA</t>
  </si>
  <si>
    <t>Patente anual</t>
  </si>
  <si>
    <t>Cupo para taxi</t>
  </si>
  <si>
    <t>USD/año</t>
  </si>
  <si>
    <t>6 - Emisiones GEI</t>
  </si>
  <si>
    <t>Subsidio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</si>
  <si>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</si>
  <si>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</si>
  <si>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</si>
  <si>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</si>
  <si>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</si>
  <si>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</si>
  <si>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Año</t>
  </si>
  <si>
    <t>CAPEX vehículo</t>
  </si>
  <si>
    <t>CAPEX cargador</t>
  </si>
  <si>
    <t>CTP Taxis</t>
  </si>
  <si>
    <t>Basado en ARESEP</t>
  </si>
  <si>
    <t>Electricidad</t>
  </si>
  <si>
    <t>Sensibilidad</t>
  </si>
  <si>
    <t>Taxi a Gasolina</t>
  </si>
  <si>
    <t>CTP 2021</t>
  </si>
  <si>
    <t>Contribución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</si>
  <si>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</si>
  <si>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</si>
  <si>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</si>
  <si>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</si>
  <si>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</si>
  <si>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</si>
  <si>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</si>
  <si>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</si>
  <si>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</si>
  <si>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CTP 2021 (USD/km)</t>
  </si>
  <si>
    <t>Sensibilidad (+/- 20% de kilometraje anual)</t>
  </si>
  <si>
    <t>Fuentes</t>
  </si>
  <si>
    <t>Sensibilidad costos de emisión</t>
  </si>
  <si>
    <t>% e-Taxi/ICE</t>
  </si>
  <si>
    <t xml:space="preserve">Tasa consular </t>
  </si>
  <si>
    <t>TGA</t>
  </si>
  <si>
    <t>IMESI</t>
  </si>
  <si>
    <t>Patente</t>
  </si>
  <si>
    <t>Combustión</t>
  </si>
  <si>
    <t>Eléctrico</t>
  </si>
  <si>
    <t>IMM</t>
  </si>
  <si>
    <t>CAPEX LCV con subsidio</t>
  </si>
  <si>
    <t>5 - Emisiones</t>
  </si>
  <si>
    <t>4 - Subsidio IMM</t>
  </si>
  <si>
    <t>Esquemas fiscales para la movilidad en Uruguay</t>
  </si>
  <si>
    <t>Uso bajo</t>
  </si>
  <si>
    <t>Uso intensivo</t>
  </si>
  <si>
    <t>Subsidios (USD/taxi)</t>
  </si>
  <si>
    <t>Reducción de impuestos (USD/taxi)</t>
  </si>
  <si>
    <t>Combustión 
Uso medio</t>
  </si>
  <si>
    <t>Combustión 
Uso intensivo</t>
  </si>
  <si>
    <t>Combustión
Uso bajo</t>
  </si>
  <si>
    <t>Eléctrico
Uso intensivo</t>
  </si>
  <si>
    <t>Eléctrico
Uso bajo</t>
  </si>
  <si>
    <t>Eléctrico
Uso medio</t>
  </si>
  <si>
    <t>CAPEX infraestructura de carga</t>
  </si>
  <si>
    <t>Mantenimiento del vehículo</t>
  </si>
  <si>
    <t>Factor de uso</t>
  </si>
  <si>
    <t>Días operativos</t>
  </si>
  <si>
    <t>8,47 L/100 km</t>
  </si>
  <si>
    <t>Tipo de uso</t>
  </si>
  <si>
    <t>Kilometraje anual</t>
  </si>
  <si>
    <t>Bajo</t>
  </si>
  <si>
    <t>Medio</t>
  </si>
  <si>
    <t>Intensivo</t>
  </si>
  <si>
    <t>CTP con subsidio IMM</t>
  </si>
  <si>
    <t>CTP sin subsidio IMM</t>
  </si>
  <si>
    <t>CAPEX Taxi</t>
  </si>
  <si>
    <t>CAPEX Taxi sin subsidio</t>
  </si>
  <si>
    <t>CAPEX LCV sin subsidio</t>
  </si>
  <si>
    <t>Con subsidio IMM</t>
  </si>
  <si>
    <t>Sin subsidio IMM</t>
  </si>
  <si>
    <t>Taxi eléctrico</t>
  </si>
  <si>
    <t>Proporción de carga lenta nocturna</t>
  </si>
  <si>
    <t>Potencia Cargador</t>
  </si>
  <si>
    <t>kW</t>
  </si>
  <si>
    <t>CAPEX batería</t>
  </si>
  <si>
    <t>Baterías LFP</t>
  </si>
  <si>
    <t>Vida útil vehículo</t>
  </si>
  <si>
    <t>Vida útil batería</t>
  </si>
  <si>
    <t>Reducción del costo de la batería 2020-2028</t>
  </si>
  <si>
    <t>Proyecciones del US DOE</t>
  </si>
  <si>
    <t>https://www.energy.gov/sites/prod/files/2017/02/f34/67089%20EERE%20LIB%20cost%20vs%20price%20metrics%20r9.pdf</t>
  </si>
  <si>
    <t>Reducción del costo de la batería 2020-2038</t>
  </si>
  <si>
    <t>USD/kW</t>
  </si>
  <si>
    <t>Capital</t>
  </si>
  <si>
    <t>Prestámo</t>
  </si>
  <si>
    <t>TOTAL (sin subsidio)</t>
  </si>
  <si>
    <t>Aumento costo electricidad</t>
  </si>
  <si>
    <t>Sin embargo, se pueden incorporar agregando una tasa de crecimiento para cada uno</t>
  </si>
  <si>
    <t>Aumento cargo por potencia</t>
  </si>
  <si>
    <t>CAPEX con subsidio</t>
  </si>
  <si>
    <t>CAPEX taxi</t>
  </si>
  <si>
    <t>Vida útil del taxi</t>
  </si>
  <si>
    <t>JAC S2</t>
  </si>
  <si>
    <t>BYD E5</t>
  </si>
  <si>
    <t>Opcional (IMM)</t>
  </si>
  <si>
    <t>(UYU/L)</t>
  </si>
  <si>
    <t>(USD/L)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</si>
  <si>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</si>
  <si>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</si>
  <si>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</si>
  <si>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</si>
  <si>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</si>
  <si>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</si>
  <si>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</si>
  <si>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>Con descuento (PME)</t>
  </si>
  <si>
    <t>(UYU)</t>
  </si>
  <si>
    <t>(USD)</t>
  </si>
  <si>
    <t>Cargo fijo mensual</t>
  </si>
  <si>
    <t>Aumento cargo fijo mensual</t>
  </si>
  <si>
    <t>los cargos por potencia y el cargo fijo mensual</t>
  </si>
  <si>
    <t>Los cálculos se realizan sin considerar proyecciones de costo de los energéticos,</t>
  </si>
  <si>
    <t>Cargo por potencia</t>
  </si>
  <si>
    <t>Ancap 2022</t>
  </si>
  <si>
    <t>https://www.ute.com.uy/sites/default/files/docs/Pliego%20Tarifario%20Vigente%20desde%201%20de%20Enero%20de%202022.pdf</t>
  </si>
  <si>
    <t>Nafta</t>
  </si>
  <si>
    <t>Aumento costo nafta</t>
  </si>
  <si>
    <t>0,2 kWh/km</t>
  </si>
  <si>
    <t>Tasa de descuento</t>
  </si>
  <si>
    <t>Costos (VP)</t>
  </si>
  <si>
    <t>Total</t>
  </si>
  <si>
    <t>Factor de descuento</t>
  </si>
  <si>
    <t>Costos descontados</t>
  </si>
  <si>
    <t>Flujo de caja - Taxis</t>
  </si>
  <si>
    <t>TAXI A GASOLINA</t>
  </si>
  <si>
    <t>TAXI ELÉCTRICO</t>
  </si>
  <si>
    <t>Precio nafta</t>
  </si>
  <si>
    <t>Valle</t>
  </si>
  <si>
    <t>Llano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</si>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</sst>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#,##0.00"/>
    <numFmt numFmtId="169" formatCode="&quot;$&quot;#,##0.000"/>
    <numFmt numFmtId="170" formatCode="&quot;$&quot;\ #,##0"/>
    <numFmt numFmtId="171" formatCode="&quot;$&quot;\ #,##0.000"/>
    <numFmt numFmtId="172" formatCode="_-&quot;$&quot;\ * #,##0.000_-;\-&quot;$&quot;\ * #,##0.000_-;_-&quot;$&quot;\ * &quot;-&quot;??_-;_-@_-"/>
    <numFmt numFmtId="173" formatCode="0.0"/>
    <numFmt numFmtId="174" formatCode="&quot;$&quot;\ #,##0.00"/>
    <numFmt numFmtId="175" formatCode="_-&quot;$&quot;\ * #,##0.00_-;\-&quot;$&quot;\ * #,##0.00_-;_-&quot;$&quot;\ 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entury Gothic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3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center" vertical="center"/>
    </xf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/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8" fillId="0" borderId="0" xfId="0" applyNumberFormat="1" applyFont="1"/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Border="1"/>
    <xf numFmtId="164" fontId="4" fillId="8" borderId="0" xfId="1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5" fillId="5" borderId="0" xfId="3" applyNumberFormat="1" applyFill="1" applyAlignment="1">
      <alignment horizontal="left" vertical="center" wrapText="1"/>
    </xf>
    <xf numFmtId="0" fontId="5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9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4" fillId="0" borderId="0" xfId="0" applyFont="1" applyFill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168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69" fontId="2" fillId="10" borderId="0" xfId="0" applyNumberFormat="1" applyFont="1" applyFill="1" applyBorder="1"/>
    <xf numFmtId="169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7" fontId="4" fillId="10" borderId="3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0" fontId="4" fillId="5" borderId="0" xfId="0" applyFont="1" applyFill="1" applyAlignment="1">
      <alignment horizontal="center" vertical="center" wrapText="1"/>
    </xf>
    <xf numFmtId="169" fontId="4" fillId="10" borderId="3" xfId="0" applyNumberFormat="1" applyFont="1" applyFill="1" applyBorder="1"/>
    <xf numFmtId="169" fontId="4" fillId="10" borderId="0" xfId="0" applyNumberFormat="1" applyFont="1" applyFill="1" applyBorder="1"/>
    <xf numFmtId="169" fontId="4" fillId="10" borderId="2" xfId="0" applyNumberFormat="1" applyFont="1" applyFill="1" applyBorder="1"/>
    <xf numFmtId="169" fontId="4" fillId="10" borderId="1" xfId="0" applyNumberFormat="1" applyFont="1" applyFill="1" applyBorder="1"/>
    <xf numFmtId="169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6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69" fontId="2" fillId="0" borderId="0" xfId="0" applyNumberFormat="1" applyFont="1" applyFill="1" applyBorder="1"/>
    <xf numFmtId="167" fontId="4" fillId="0" borderId="0" xfId="0" applyNumberFormat="1" applyFont="1"/>
    <xf numFmtId="9" fontId="8" fillId="0" borderId="0" xfId="0" applyNumberFormat="1" applyFont="1" applyAlignment="1"/>
    <xf numFmtId="0" fontId="8" fillId="0" borderId="0" xfId="0" applyFont="1" applyAlignment="1"/>
    <xf numFmtId="0" fontId="4" fillId="9" borderId="0" xfId="0" applyFont="1" applyFill="1"/>
    <xf numFmtId="0" fontId="6" fillId="9" borderId="0" xfId="0" applyFont="1" applyFill="1"/>
    <xf numFmtId="0" fontId="13" fillId="0" borderId="0" xfId="0" applyFont="1" applyFill="1" applyBorder="1" applyAlignment="1">
      <alignment horizontal="right"/>
    </xf>
    <xf numFmtId="167" fontId="14" fillId="0" borderId="0" xfId="0" applyNumberFormat="1" applyFont="1"/>
    <xf numFmtId="0" fontId="9" fillId="2" borderId="8" xfId="0" applyFont="1" applyFill="1" applyBorder="1" applyAlignment="1">
      <alignment horizontal="center" vertical="center"/>
    </xf>
    <xf numFmtId="0" fontId="9" fillId="4" borderId="9" xfId="0" applyFont="1" applyFill="1" applyBorder="1"/>
    <xf numFmtId="167" fontId="4" fillId="10" borderId="9" xfId="0" applyNumberFormat="1" applyFont="1" applyFill="1" applyBorder="1"/>
    <xf numFmtId="10" fontId="4" fillId="10" borderId="9" xfId="0" applyNumberFormat="1" applyFont="1" applyFill="1" applyBorder="1"/>
    <xf numFmtId="167" fontId="4" fillId="11" borderId="9" xfId="0" applyNumberFormat="1" applyFont="1" applyFill="1" applyBorder="1"/>
    <xf numFmtId="10" fontId="4" fillId="11" borderId="10" xfId="0" applyNumberFormat="1" applyFont="1" applyFill="1" applyBorder="1"/>
    <xf numFmtId="0" fontId="9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0" fontId="4" fillId="11" borderId="1" xfId="1" applyNumberFormat="1" applyFont="1" applyFill="1" applyBorder="1"/>
    <xf numFmtId="170" fontId="4" fillId="11" borderId="0" xfId="1" applyNumberFormat="1" applyFont="1" applyFill="1" applyBorder="1"/>
    <xf numFmtId="170" fontId="4" fillId="11" borderId="2" xfId="1" applyNumberFormat="1" applyFont="1" applyFill="1" applyBorder="1"/>
    <xf numFmtId="169" fontId="4" fillId="11" borderId="3" xfId="0" applyNumberFormat="1" applyFont="1" applyFill="1" applyBorder="1"/>
    <xf numFmtId="169" fontId="4" fillId="11" borderId="0" xfId="0" applyNumberFormat="1" applyFont="1" applyFill="1" applyBorder="1"/>
    <xf numFmtId="169" fontId="4" fillId="11" borderId="2" xfId="0" applyNumberFormat="1" applyFont="1" applyFill="1" applyBorder="1"/>
    <xf numFmtId="169" fontId="4" fillId="11" borderId="1" xfId="0" applyNumberFormat="1" applyFont="1" applyFill="1" applyBorder="1"/>
    <xf numFmtId="169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0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5" fillId="0" borderId="0" xfId="3"/>
    <xf numFmtId="2" fontId="8" fillId="0" borderId="0" xfId="0" applyNumberFormat="1" applyFont="1"/>
    <xf numFmtId="0" fontId="15" fillId="5" borderId="0" xfId="0" applyFont="1" applyFill="1" applyAlignment="1">
      <alignment horizontal="left" vertical="center" wrapText="1"/>
    </xf>
    <xf numFmtId="170" fontId="2" fillId="11" borderId="0" xfId="1" applyNumberFormat="1" applyFont="1" applyFill="1" applyBorder="1"/>
    <xf numFmtId="168" fontId="2" fillId="10" borderId="0" xfId="0" applyNumberFormat="1" applyFont="1" applyFill="1"/>
    <xf numFmtId="10" fontId="16" fillId="10" borderId="0" xfId="0" applyNumberFormat="1" applyFont="1" applyFill="1"/>
    <xf numFmtId="10" fontId="16" fillId="11" borderId="0" xfId="0" applyNumberFormat="1" applyFont="1" applyFill="1"/>
    <xf numFmtId="167" fontId="4" fillId="0" borderId="0" xfId="1" applyNumberFormat="1" applyFont="1"/>
    <xf numFmtId="169" fontId="2" fillId="17" borderId="0" xfId="0" applyNumberFormat="1" applyFont="1" applyFill="1" applyBorder="1"/>
    <xf numFmtId="9" fontId="4" fillId="0" borderId="0" xfId="0" applyNumberFormat="1" applyFont="1" applyFill="1"/>
    <xf numFmtId="41" fontId="4" fillId="0" borderId="0" xfId="4" applyFont="1" applyFill="1" applyBorder="1"/>
    <xf numFmtId="1" fontId="4" fillId="11" borderId="0" xfId="2" applyNumberFormat="1" applyFont="1" applyFill="1" applyAlignment="1">
      <alignment horizontal="right"/>
    </xf>
    <xf numFmtId="169" fontId="4" fillId="11" borderId="0" xfId="0" applyNumberFormat="1" applyFont="1" applyFill="1"/>
    <xf numFmtId="171" fontId="2" fillId="18" borderId="0" xfId="1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9" fillId="4" borderId="0" xfId="0" applyFont="1" applyFill="1"/>
    <xf numFmtId="0" fontId="14" fillId="0" borderId="0" xfId="0" applyFont="1"/>
    <xf numFmtId="1" fontId="4" fillId="8" borderId="0" xfId="2" applyNumberFormat="1" applyFont="1" applyFill="1" applyAlignment="1">
      <alignment horizontal="center" vertical="center"/>
    </xf>
    <xf numFmtId="0" fontId="9" fillId="4" borderId="0" xfId="0" applyFont="1" applyFill="1" applyBorder="1"/>
    <xf numFmtId="166" fontId="4" fillId="11" borderId="1" xfId="0" applyNumberFormat="1" applyFont="1" applyFill="1" applyBorder="1" applyAlignment="1">
      <alignment horizontal="center"/>
    </xf>
    <xf numFmtId="166" fontId="4" fillId="11" borderId="0" xfId="0" applyNumberFormat="1" applyFont="1" applyFill="1" applyBorder="1" applyAlignment="1">
      <alignment horizontal="center"/>
    </xf>
    <xf numFmtId="166" fontId="4" fillId="11" borderId="2" xfId="0" applyNumberFormat="1" applyFont="1" applyFill="1" applyBorder="1" applyAlignment="1">
      <alignment horizontal="center"/>
    </xf>
    <xf numFmtId="171" fontId="2" fillId="16" borderId="0" xfId="0" applyNumberFormat="1" applyFont="1" applyFill="1" applyBorder="1"/>
    <xf numFmtId="167" fontId="2" fillId="10" borderId="0" xfId="0" applyNumberFormat="1" applyFont="1" applyFill="1" applyBorder="1"/>
    <xf numFmtId="171" fontId="4" fillId="0" borderId="0" xfId="0" applyNumberFormat="1" applyFont="1"/>
    <xf numFmtId="0" fontId="18" fillId="12" borderId="11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center" vertical="center" wrapText="1"/>
    </xf>
    <xf numFmtId="170" fontId="19" fillId="19" borderId="11" xfId="0" applyNumberFormat="1" applyFont="1" applyFill="1" applyBorder="1" applyAlignment="1">
      <alignment horizontal="center" vertical="center" wrapText="1"/>
    </xf>
    <xf numFmtId="171" fontId="19" fillId="19" borderId="11" xfId="0" applyNumberFormat="1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170" fontId="19" fillId="20" borderId="11" xfId="0" applyNumberFormat="1" applyFont="1" applyFill="1" applyBorder="1" applyAlignment="1">
      <alignment horizontal="center" vertical="center" wrapText="1"/>
    </xf>
    <xf numFmtId="171" fontId="19" fillId="20" borderId="11" xfId="0" applyNumberFormat="1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170" fontId="19" fillId="21" borderId="11" xfId="0" applyNumberFormat="1" applyFont="1" applyFill="1" applyBorder="1" applyAlignment="1">
      <alignment horizontal="center" vertical="center" wrapText="1"/>
    </xf>
    <xf numFmtId="171" fontId="19" fillId="21" borderId="1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 wrapText="1"/>
    </xf>
    <xf numFmtId="1" fontId="2" fillId="5" borderId="0" xfId="1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" fontId="2" fillId="5" borderId="0" xfId="1" applyNumberFormat="1" applyFont="1" applyFill="1" applyAlignment="1">
      <alignment horizontal="center" vertical="center" wrapText="1"/>
    </xf>
    <xf numFmtId="172" fontId="2" fillId="5" borderId="0" xfId="2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" fontId="2" fillId="5" borderId="0" xfId="1" applyNumberFormat="1" applyFont="1" applyFill="1" applyBorder="1" applyAlignment="1">
      <alignment horizontal="center" vertical="center" wrapText="1"/>
    </xf>
    <xf numFmtId="0" fontId="13" fillId="0" borderId="12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8" fillId="0" borderId="3" xfId="0" applyNumberFormat="1" applyFont="1" applyBorder="1"/>
    <xf numFmtId="0" fontId="8" fillId="0" borderId="3" xfId="0" applyFont="1" applyBorder="1"/>
    <xf numFmtId="0" fontId="8" fillId="0" borderId="13" xfId="0" applyFont="1" applyBorder="1"/>
    <xf numFmtId="0" fontId="13" fillId="0" borderId="14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0" fontId="8" fillId="0" borderId="15" xfId="0" applyFont="1" applyBorder="1"/>
    <xf numFmtId="0" fontId="13" fillId="0" borderId="16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17" xfId="0" applyFont="1" applyBorder="1"/>
    <xf numFmtId="2" fontId="8" fillId="0" borderId="0" xfId="0" applyNumberFormat="1" applyFont="1" applyBorder="1"/>
    <xf numFmtId="174" fontId="4" fillId="8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174" fontId="4" fillId="15" borderId="0" xfId="1" applyNumberFormat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0" fontId="8" fillId="0" borderId="12" xfId="0" applyFont="1" applyBorder="1"/>
    <xf numFmtId="0" fontId="8" fillId="0" borderId="3" xfId="0" applyFont="1" applyBorder="1" applyAlignment="1">
      <alignment horizontal="center"/>
    </xf>
    <xf numFmtId="175" fontId="8" fillId="0" borderId="0" xfId="5" applyNumberFormat="1" applyFont="1" applyBorder="1"/>
    <xf numFmtId="175" fontId="4" fillId="8" borderId="0" xfId="5" applyNumberFormat="1" applyFont="1" applyFill="1" applyBorder="1" applyAlignment="1">
      <alignment horizontal="center" vertical="center"/>
    </xf>
    <xf numFmtId="0" fontId="13" fillId="0" borderId="0" xfId="0" applyFont="1" applyBorder="1"/>
    <xf numFmtId="175" fontId="4" fillId="8" borderId="4" xfId="5" applyNumberFormat="1" applyFont="1" applyFill="1" applyBorder="1" applyAlignment="1">
      <alignment horizontal="center" vertical="center"/>
    </xf>
    <xf numFmtId="175" fontId="8" fillId="0" borderId="4" xfId="5" applyNumberFormat="1" applyFont="1" applyBorder="1"/>
    <xf numFmtId="175" fontId="8" fillId="8" borderId="0" xfId="5" applyNumberFormat="1" applyFont="1" applyFill="1" applyBorder="1"/>
    <xf numFmtId="0" fontId="8" fillId="0" borderId="0" xfId="0" applyFont="1" applyBorder="1" applyAlignment="1">
      <alignment horizontal="center"/>
    </xf>
    <xf numFmtId="9" fontId="8" fillId="8" borderId="0" xfId="0" applyNumberFormat="1" applyFont="1" applyFill="1" applyBorder="1"/>
    <xf numFmtId="2" fontId="23" fillId="22" borderId="0" xfId="0" quotePrefix="1" applyNumberFormat="1" applyFont="1" applyFill="1" applyAlignment="1">
      <alignment horizontal="left" vertical="center" wrapText="1"/>
    </xf>
    <xf numFmtId="0" fontId="22" fillId="12" borderId="0" xfId="0" applyFont="1" applyFill="1"/>
    <xf numFmtId="0" fontId="22" fillId="12" borderId="6" xfId="0" applyFont="1" applyFill="1" applyBorder="1"/>
    <xf numFmtId="0" fontId="20" fillId="12" borderId="0" xfId="0" applyFont="1" applyFill="1"/>
    <xf numFmtId="0" fontId="25" fillId="0" borderId="0" xfId="0" applyFont="1"/>
    <xf numFmtId="0" fontId="26" fillId="0" borderId="0" xfId="0" applyFont="1"/>
    <xf numFmtId="166" fontId="0" fillId="10" borderId="11" xfId="2" applyNumberFormat="1" applyFont="1" applyFill="1" applyBorder="1"/>
    <xf numFmtId="0" fontId="21" fillId="0" borderId="0" xfId="0" applyFont="1"/>
    <xf numFmtId="1" fontId="0" fillId="24" borderId="0" xfId="0" applyNumberFormat="1" applyFill="1"/>
    <xf numFmtId="3" fontId="0" fillId="0" borderId="0" xfId="0" applyNumberFormat="1"/>
    <xf numFmtId="1" fontId="20" fillId="3" borderId="0" xfId="0" applyNumberFormat="1" applyFont="1" applyFill="1"/>
    <xf numFmtId="0" fontId="20" fillId="3" borderId="0" xfId="0" applyFont="1" applyFill="1"/>
    <xf numFmtId="166" fontId="29" fillId="0" borderId="0" xfId="2" applyNumberFormat="1" applyFont="1"/>
    <xf numFmtId="42" fontId="0" fillId="25" borderId="5" xfId="5" applyFont="1" applyFill="1" applyBorder="1"/>
    <xf numFmtId="42" fontId="0" fillId="25" borderId="1" xfId="5" applyFont="1" applyFill="1" applyBorder="1"/>
    <xf numFmtId="42" fontId="0" fillId="25" borderId="18" xfId="5" applyFont="1" applyFill="1" applyBorder="1"/>
    <xf numFmtId="42" fontId="0" fillId="25" borderId="19" xfId="5" applyFont="1" applyFill="1" applyBorder="1"/>
    <xf numFmtId="42" fontId="0" fillId="25" borderId="6" xfId="5" applyFont="1" applyFill="1" applyBorder="1"/>
    <xf numFmtId="42" fontId="0" fillId="25" borderId="0" xfId="5" applyFont="1" applyFill="1" applyBorder="1"/>
    <xf numFmtId="42" fontId="0" fillId="25" borderId="20" xfId="5" applyFont="1" applyFill="1" applyBorder="1"/>
    <xf numFmtId="42" fontId="0" fillId="25" borderId="21" xfId="5" applyFont="1" applyFill="1" applyBorder="1"/>
    <xf numFmtId="42" fontId="0" fillId="25" borderId="7" xfId="5" applyFont="1" applyFill="1" applyBorder="1"/>
    <xf numFmtId="42" fontId="0" fillId="25" borderId="2" xfId="5" applyFont="1" applyFill="1" applyBorder="1"/>
    <xf numFmtId="42" fontId="0" fillId="25" borderId="22" xfId="5" applyFont="1" applyFill="1" applyBorder="1"/>
    <xf numFmtId="42" fontId="0" fillId="25" borderId="23" xfId="5" applyFont="1" applyFill="1" applyBorder="1"/>
    <xf numFmtId="42" fontId="0" fillId="25" borderId="9" xfId="5" applyFont="1" applyFill="1" applyBorder="1"/>
    <xf numFmtId="42" fontId="0" fillId="25" borderId="10" xfId="5" applyFont="1" applyFill="1" applyBorder="1"/>
    <xf numFmtId="42" fontId="22" fillId="3" borderId="0" xfId="5" applyFont="1" applyFill="1" applyBorder="1"/>
    <xf numFmtId="42" fontId="22" fillId="3" borderId="0" xfId="5" applyFont="1" applyFill="1"/>
    <xf numFmtId="0" fontId="29" fillId="0" borderId="0" xfId="2" applyNumberFormat="1" applyFont="1"/>
    <xf numFmtId="1" fontId="30" fillId="0" borderId="0" xfId="0" applyNumberFormat="1" applyFont="1"/>
    <xf numFmtId="2" fontId="0" fillId="10" borderId="0" xfId="0" applyNumberFormat="1" applyFill="1"/>
    <xf numFmtId="166" fontId="31" fillId="0" borderId="0" xfId="2" applyNumberFormat="1" applyFont="1"/>
    <xf numFmtId="42" fontId="0" fillId="11" borderId="5" xfId="5" applyFont="1" applyFill="1" applyBorder="1"/>
    <xf numFmtId="42" fontId="0" fillId="11" borderId="1" xfId="5" applyFont="1" applyFill="1" applyBorder="1"/>
    <xf numFmtId="42" fontId="0" fillId="11" borderId="18" xfId="5" applyFont="1" applyFill="1" applyBorder="1"/>
    <xf numFmtId="42" fontId="0" fillId="11" borderId="19" xfId="5" applyFont="1" applyFill="1" applyBorder="1"/>
    <xf numFmtId="42" fontId="0" fillId="11" borderId="6" xfId="5" applyFont="1" applyFill="1" applyBorder="1"/>
    <xf numFmtId="42" fontId="0" fillId="11" borderId="0" xfId="5" applyFont="1" applyFill="1" applyBorder="1"/>
    <xf numFmtId="42" fontId="0" fillId="11" borderId="20" xfId="5" applyFont="1" applyFill="1" applyBorder="1"/>
    <xf numFmtId="42" fontId="0" fillId="11" borderId="21" xfId="5" applyFont="1" applyFill="1" applyBorder="1"/>
    <xf numFmtId="42" fontId="0" fillId="11" borderId="7" xfId="5" applyFont="1" applyFill="1" applyBorder="1"/>
    <xf numFmtId="42" fontId="0" fillId="11" borderId="2" xfId="5" applyFont="1" applyFill="1" applyBorder="1"/>
    <xf numFmtId="42" fontId="0" fillId="11" borderId="22" xfId="5" applyFont="1" applyFill="1" applyBorder="1"/>
    <xf numFmtId="42" fontId="0" fillId="11" borderId="23" xfId="5" applyFont="1" applyFill="1" applyBorder="1"/>
    <xf numFmtId="42" fontId="0" fillId="11" borderId="8" xfId="5" applyFont="1" applyFill="1" applyBorder="1"/>
    <xf numFmtId="42" fontId="0" fillId="11" borderId="9" xfId="5" applyFont="1" applyFill="1" applyBorder="1"/>
    <xf numFmtId="42" fontId="0" fillId="11" borderId="10" xfId="5" applyFont="1" applyFill="1" applyBorder="1"/>
    <xf numFmtId="42" fontId="22" fillId="26" borderId="0" xfId="5" applyFont="1" applyFill="1" applyBorder="1"/>
    <xf numFmtId="42" fontId="22" fillId="26" borderId="0" xfId="5" applyFont="1" applyFill="1"/>
    <xf numFmtId="6" fontId="0" fillId="25" borderId="2" xfId="5" applyNumberFormat="1" applyFont="1" applyFill="1" applyBorder="1"/>
    <xf numFmtId="6" fontId="0" fillId="25" borderId="7" xfId="5" applyNumberFormat="1" applyFont="1" applyFill="1" applyBorder="1"/>
    <xf numFmtId="6" fontId="0" fillId="25" borderId="8" xfId="5" applyNumberFormat="1" applyFont="1" applyFill="1" applyBorder="1"/>
    <xf numFmtId="6" fontId="0" fillId="25" borderId="9" xfId="5" applyNumberFormat="1" applyFont="1" applyFill="1" applyBorder="1"/>
    <xf numFmtId="6" fontId="0" fillId="25" borderId="0" xfId="5" applyNumberFormat="1" applyFont="1" applyFill="1" applyBorder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8" borderId="14" xfId="0" applyFont="1" applyFill="1" applyBorder="1"/>
    <xf numFmtId="0" fontId="2" fillId="28" borderId="14" xfId="0" applyFont="1" applyFill="1" applyBorder="1"/>
    <xf numFmtId="0" fontId="2" fillId="29" borderId="14" xfId="0" applyFont="1" applyFill="1" applyBorder="1"/>
    <xf numFmtId="0" fontId="2" fillId="0" borderId="16" xfId="0" applyFont="1" applyBorder="1"/>
    <xf numFmtId="0" fontId="2" fillId="0" borderId="4" xfId="0" applyFont="1" applyBorder="1"/>
    <xf numFmtId="0" fontId="2" fillId="0" borderId="17" xfId="0" applyFont="1" applyBorder="1"/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 wrapText="1"/>
    </xf>
    <xf numFmtId="1" fontId="2" fillId="5" borderId="0" xfId="1" applyNumberFormat="1" applyFont="1" applyFill="1" applyBorder="1" applyAlignment="1">
      <alignment horizontal="center" vertical="center" wrapText="1"/>
    </xf>
    <xf numFmtId="0" fontId="2" fillId="5" borderId="0" xfId="1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1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12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27" borderId="0" xfId="0" applyFont="1" applyFill="1" applyAlignment="1">
      <alignment horizontal="center"/>
    </xf>
    <xf numFmtId="0" fontId="24" fillId="12" borderId="0" xfId="0" applyFont="1" applyFill="1" applyAlignment="1">
      <alignment horizontal="center"/>
    </xf>
    <xf numFmtId="0" fontId="27" fillId="0" borderId="11" xfId="0" applyFont="1" applyBorder="1" applyAlignment="1">
      <alignment horizontal="center"/>
    </xf>
    <xf numFmtId="0" fontId="20" fillId="23" borderId="0" xfId="0" applyFont="1" applyFill="1" applyAlignment="1">
      <alignment horizontal="center"/>
    </xf>
    <xf numFmtId="0" fontId="28" fillId="0" borderId="2" xfId="0" applyFont="1" applyBorder="1" applyAlignment="1">
      <alignment horizontal="center"/>
    </xf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5B5B"/>
      <color rgb="FFB4DE86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CTP!$B$4</c:f>
              <c:strCache>
                <c:ptCount val="1"/>
                <c:pt idx="0">
                  <c:v>CAPEX con subsidio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(CTP!$C$4,CTP!$E$4)</c:f>
              <c:numCache>
                <c:formatCode>"$"#,##0</c:formatCode>
                <c:ptCount val="2"/>
                <c:pt idx="0">
                  <c:v>9500</c:v>
                </c:pt>
                <c:pt idx="1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CTP!$B$6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475</c:v>
                </c:pt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3"/>
          <c:tx>
            <c:strRef>
              <c:f>CTP!$B$7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(CTP!$C$7,CTP!$E$7)</c:f>
              <c:numCache>
                <c:formatCode>"$"#,##0</c:formatCode>
                <c:ptCount val="2"/>
                <c:pt idx="0">
                  <c:v>2185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2"/>
          <c:order val="4"/>
          <c:tx>
            <c:strRef>
              <c:f>CTP!$B$10</c:f>
              <c:strCache>
                <c:ptCount val="1"/>
                <c:pt idx="0">
                  <c:v>Cupo para taxi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(CTP!$C$10,CTP!$E$10)</c:f>
              <c:numCache>
                <c:formatCode>"$"#,##0</c:formatCode>
                <c:ptCount val="2"/>
                <c:pt idx="0">
                  <c:v>40000</c:v>
                </c:pt>
                <c:pt idx="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3-4C40-A985-1F2793FB991B}"/>
            </c:ext>
          </c:extLst>
        </c:ser>
        <c:ser>
          <c:idx val="3"/>
          <c:order val="5"/>
          <c:tx>
            <c:strRef>
              <c:f>CTP!$B$11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(CTP!$C$11,CTP!$E$11)</c:f>
              <c:numCache>
                <c:formatCode>"$"#,##0</c:formatCode>
                <c:ptCount val="2"/>
                <c:pt idx="0">
                  <c:v>1920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3-4C40-A985-1F2793FB991B}"/>
            </c:ext>
          </c:extLst>
        </c:ser>
        <c:ser>
          <c:idx val="7"/>
          <c:order val="6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2715.2207826243648</c:v>
                </c:pt>
                <c:pt idx="1">
                  <c:v>4689.114838413785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CTP!$B$13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106132.54876851151</c:v>
                </c:pt>
                <c:pt idx="1">
                  <c:v>78561.957089383388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CTP!$B$14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(CTP!$C$14,CTP!$E$14)</c:f>
              <c:numCache>
                <c:formatCode>"$"#,##0</c:formatCode>
                <c:ptCount val="2"/>
                <c:pt idx="0">
                  <c:v>93409.627118644043</c:v>
                </c:pt>
                <c:pt idx="1">
                  <c:v>12453.120000000003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CTP!$B$18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(CTP!$C$18,CTP!$E$18)</c:f>
              <c:numCache>
                <c:formatCode>"$"#,##0</c:formatCode>
                <c:ptCount val="2"/>
                <c:pt idx="0">
                  <c:v>5580.8</c:v>
                </c:pt>
                <c:pt idx="1">
                  <c:v>141.31200000000004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ser>
          <c:idx val="4"/>
          <c:order val="10"/>
          <c:tx>
            <c:v>Sin Subsidio IMM</c:v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</c:spPr>
          <c:invertIfNegative val="0"/>
          <c:val>
            <c:numRef>
              <c:f>(CTP!$C$17,CTP!$E$17)</c:f>
              <c:numCache>
                <c:formatCode>"$"#,##0</c:formatCode>
                <c:ptCount val="2"/>
                <c:pt idx="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3-40D8-A921-E42AB5D22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</a:t>
                </a:r>
                <a:r>
                  <a:rPr lang="es-CO" b="1"/>
                  <a:t>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CTP!$B$37</c:f>
              <c:strCache>
                <c:ptCount val="1"/>
                <c:pt idx="0">
                  <c:v>CAPEX LCV con subsidio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1.4843749999999999E-2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CTP!$B$39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3.1250000000000002E-3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CTP!$B$40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7.4218750000000001E-4</c:v>
                </c:pt>
                <c:pt idx="1">
                  <c:v>1.5625000000000001E-3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2"/>
          <c:order val="3"/>
          <c:tx>
            <c:strRef>
              <c:f>CTP!$B$41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(CTP!$C$41,CTP!$D$41)</c:f>
              <c:numCache>
                <c:formatCode>"$"#,##0.000</c:formatCode>
                <c:ptCount val="2"/>
                <c:pt idx="0">
                  <c:v>3.4140625E-3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6-46F6-8D2D-9C698ACB8579}"/>
            </c:ext>
          </c:extLst>
        </c:ser>
        <c:ser>
          <c:idx val="6"/>
          <c:order val="4"/>
          <c:tx>
            <c:strRef>
              <c:f>CTP!$B$44</c:f>
              <c:strCache>
                <c:ptCount val="1"/>
                <c:pt idx="0">
                  <c:v>Cupo para taxi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CTP!$C$44:$D$44</c:f>
              <c:numCache>
                <c:formatCode>"$"#,##0.000</c:formatCode>
                <c:ptCount val="2"/>
                <c:pt idx="0">
                  <c:v>6.25E-2</c:v>
                </c:pt>
                <c:pt idx="1">
                  <c:v>3.90625E-2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CTP!$B$45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(CTP!$C$45,CTP!$D$45)</c:f>
              <c:numCache>
                <c:formatCode>"$"#,##0.000</c:formatCode>
                <c:ptCount val="2"/>
                <c:pt idx="0">
                  <c:v>3.0000000000000001E-3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6-46F6-8D2D-9C698ACB8579}"/>
            </c:ext>
          </c:extLst>
        </c:ser>
        <c:ser>
          <c:idx val="7"/>
          <c:order val="6"/>
          <c:tx>
            <c:strRef>
              <c:f>CTP!$B$46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4.2425324728505697E-3</c:v>
                </c:pt>
                <c:pt idx="1">
                  <c:v>7.3267419350215388E-3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CTP!$B$47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0.16583210745079924</c:v>
                </c:pt>
                <c:pt idx="1">
                  <c:v>0.12275305795216154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CTP!$B$48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0.14595254237288133</c:v>
                </c:pt>
                <c:pt idx="1">
                  <c:v>1.9458000000000003E-2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CTP!$B$49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CTP!$C$49:$D$49</c:f>
              <c:numCache>
                <c:formatCode>"$"#,##0.000</c:formatCode>
                <c:ptCount val="2"/>
                <c:pt idx="0">
                  <c:v>8.7200000000000003E-3</c:v>
                </c:pt>
                <c:pt idx="1">
                  <c:v>2.2080000000000005E-4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TCO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243674297093375"/>
          <c:w val="0.75662429165546652"/>
          <c:h val="0.64880135922684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CTP!$C$139</c:f>
              <c:strCache>
                <c:ptCount val="1"/>
                <c:pt idx="0">
                  <c:v>Combustión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CTP!$B$140:$B$142</c:f>
              <c:numCache>
                <c:formatCode>0</c:formatCode>
                <c:ptCount val="3"/>
                <c:pt idx="0">
                  <c:v>30000</c:v>
                </c:pt>
                <c:pt idx="1">
                  <c:v>80000</c:v>
                </c:pt>
                <c:pt idx="2">
                  <c:v>130000</c:v>
                </c:pt>
              </c:numCache>
            </c:numRef>
          </c:xVal>
          <c:yVal>
            <c:numRef>
              <c:f>CTP!$C$140:$C$142</c:f>
              <c:numCache>
                <c:formatCode>"$"#,##0.000</c:formatCode>
                <c:ptCount val="3"/>
                <c:pt idx="0">
                  <c:v>0.5571514030846153</c:v>
                </c:pt>
                <c:pt idx="1">
                  <c:v>0.40924718229653118</c:v>
                </c:pt>
                <c:pt idx="2">
                  <c:v>0.37511543903774242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CTP!$D$139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CTP!$B$140:$B$142</c:f>
              <c:numCache>
                <c:formatCode>0</c:formatCode>
                <c:ptCount val="3"/>
                <c:pt idx="0">
                  <c:v>30000</c:v>
                </c:pt>
                <c:pt idx="1">
                  <c:v>80000</c:v>
                </c:pt>
                <c:pt idx="2">
                  <c:v>130000</c:v>
                </c:pt>
              </c:numCache>
            </c:numRef>
          </c:xVal>
          <c:yVal>
            <c:numRef>
              <c:f>CTP!$D$140:$D$142</c:f>
              <c:numCache>
                <c:formatCode>"$"#,##0.000</c:formatCode>
                <c:ptCount val="3"/>
                <c:pt idx="0">
                  <c:v>0.36196983644555236</c:v>
                </c:pt>
                <c:pt idx="1">
                  <c:v>0.22475859988718311</c:v>
                </c:pt>
                <c:pt idx="2">
                  <c:v>0.19309446837371325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CTP!$C$143</c15:sqref>
                        </c15:formulaRef>
                      </c:ext>
                    </c:extLst>
                    <c:strCache>
                      <c:ptCount val="1"/>
                      <c:pt idx="0">
                        <c:v>ICE 2030</c:v>
                      </c:pt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CTP!$B$140:$B$142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30000</c:v>
                      </c:pt>
                      <c:pt idx="1">
                        <c:v>80000</c:v>
                      </c:pt>
                      <c:pt idx="2">
                        <c:v>130000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CTP!$C$144:$C$146</c15:sqref>
                        </c15:formulaRef>
                      </c:ext>
                    </c:extLst>
                    <c:numCache>
                      <c:formatCode>"$"#,##0.000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D67-4205-89D4-B62772DDD6FA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CTP!$D$143</c15:sqref>
                        </c15:formulaRef>
                      </c:ext>
                    </c:extLst>
                    <c:strCache>
                      <c:ptCount val="1"/>
                      <c:pt idx="0">
                        <c:v>e-Taxi 2030</c:v>
                      </c:pt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CTP!$B$140:$B$142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30000</c:v>
                      </c:pt>
                      <c:pt idx="1">
                        <c:v>80000</c:v>
                      </c:pt>
                      <c:pt idx="2">
                        <c:v>130000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CTP!$D$144:$D$146</c15:sqref>
                        </c15:formulaRef>
                      </c:ext>
                    </c:extLst>
                    <c:numCache>
                      <c:formatCode>"$"#,##0.000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67-4205-89D4-B62772DDD6FA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130000"/>
          <c:min val="3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374372072851534E-2"/>
          <c:y val="4.6403712296983757E-2"/>
          <c:w val="0.9"/>
          <c:h val="7.719645522934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397547</xdr:colOff>
      <xdr:row>49</xdr:row>
      <xdr:rowOff>116130</xdr:rowOff>
    </xdr:from>
    <xdr:to>
      <xdr:col>5</xdr:col>
      <xdr:colOff>100852</xdr:colOff>
      <xdr:row>70</xdr:row>
      <xdr:rowOff>44823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447674</xdr:colOff>
      <xdr:row>71</xdr:row>
      <xdr:rowOff>78441</xdr:rowOff>
    </xdr:from>
    <xdr:to>
      <xdr:col>5</xdr:col>
      <xdr:colOff>56029</xdr:colOff>
      <xdr:row>91</xdr:row>
      <xdr:rowOff>28276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357840</xdr:colOff>
      <xdr:row>137</xdr:row>
      <xdr:rowOff>23830</xdr:rowOff>
    </xdr:from>
    <xdr:to>
      <xdr:col>10</xdr:col>
      <xdr:colOff>1182966</xdr:colOff>
      <xdr:row>156</xdr:row>
      <xdr:rowOff>52854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0.16522</cdr:x>
      <cdr:y>0.03302</cdr:y>
    </cdr:from>
    <cdr:to>
      <cdr:x>0.3799</cdr:x>
      <cdr:y>0.14985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078504" y="114199"/>
          <a:ext cx="1401364" cy="40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261,918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0.4 USD/km</a:t>
          </a:r>
        </a:p>
      </cdr:txBody>
    </cdr:sp>
  </cdr:relSizeAnchor>
  <cdr:relSizeAnchor xmlns:cdr="http://schemas.openxmlformats.org/drawingml/2006/chartDrawing">
    <cdr:from>
      <cdr:x>0.4042</cdr:x>
      <cdr:y>0.34602</cdr:y>
    </cdr:from>
    <cdr:to>
      <cdr:x>0.61888</cdr:x>
      <cdr:y>0.47392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2638490" y="1196727"/>
          <a:ext cx="1401364" cy="442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153,293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0.2 USD/km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0.17642</cdr:x>
      <cdr:y>0.04461</cdr:y>
    </cdr:from>
    <cdr:to>
      <cdr:x>0.38063</cdr:x>
      <cdr:y>0.13002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1134851" y="147727"/>
          <a:ext cx="1313629" cy="282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0.409 USD/km</a:t>
          </a:r>
        </a:p>
      </cdr:txBody>
    </cdr:sp>
  </cdr:relSizeAnchor>
  <cdr:relSizeAnchor xmlns:cdr="http://schemas.openxmlformats.org/drawingml/2006/chartDrawing">
    <cdr:from>
      <cdr:x>0.4765</cdr:x>
      <cdr:y>0.40759</cdr:y>
    </cdr:from>
    <cdr:to>
      <cdr:x>0.67113</cdr:x>
      <cdr:y>0.493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3065174" y="1349779"/>
          <a:ext cx="1252004" cy="282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0.240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41</xdr:row>
      <xdr:rowOff>0</xdr:rowOff>
    </xdr:from>
    <xdr:to>
      <xdr:col>10</xdr:col>
      <xdr:colOff>542925</xdr:colOff>
      <xdr:row>42</xdr:row>
      <xdr:rowOff>155625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4C62F-C36D-49BF-8A32-CC71D59EF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375" y="8620125"/>
          <a:ext cx="0" cy="346125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85F895D9-B51D-4A2E-B02B-8029A25D8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41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957C1562-5B71-4291-A4C9-4DE0FEB59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57149</xdr:rowOff>
    </xdr:from>
    <xdr:to>
      <xdr:col>9</xdr:col>
      <xdr:colOff>30179</xdr:colOff>
      <xdr:row>17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289458-BE1C-4718-B766-C22082B6B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47649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28575</xdr:rowOff>
    </xdr:from>
    <xdr:to>
      <xdr:col>17</xdr:col>
      <xdr:colOff>87092</xdr:colOff>
      <xdr:row>21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D26925-1434-4E99-8DA9-58319FC3B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219075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uan Marquez" id="{02681525-E87B-4FD8-9B80-40BA384F7601}" userId="S::Juan.Marquez@hinicio.com::0d161bd9-305e-4648-95b0-3453aeae778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9" dT="2021-11-09T20:30:54.65" personId="{02681525-E87B-4FD8-9B80-40BA384F7601}" id="{F07ABD1B-7CD7-4EA0-8B4F-5E2097EA047B}">
    <text>30 cupos aun disponibles en Montevideo</text>
  </threadedComment>
</ThreadedComment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ntevideo.gub.uy/noticias/movilidad-y-transporte/nueva-convocatoria-para-taxis-100-electrico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brou.com.uy/documents/20182/49226/Tasas_20160905.pdf/3c2a1575-f48e-440d-bd97-f4a87fb1619e" TargetMode="External"/><Relationship Id="rId7" Type="http://schemas.openxmlformats.org/officeDocument/2006/relationships/hyperlink" Target="https://montevideo.gub.uy/noticias/movilidad-y-transporte/nueva-convocatoria-para-taxis-100-electricos" TargetMode="External"/><Relationship Id="rId12" Type="http://schemas.openxmlformats.org/officeDocument/2006/relationships/hyperlink" Target="https://www.ancap.com.uy/2093/1/precios-combustibles.html" TargetMode="External"/><Relationship Id="rId2" Type="http://schemas.openxmlformats.org/officeDocument/2006/relationships/hyperlink" Target="https://montevideo.gub.uy/sites/default/files/biblioteca/informefinalt.oneroso12032019_0.pdf" TargetMode="External"/><Relationship Id="rId16" Type="http://schemas.microsoft.com/office/2017/10/relationships/threadedComment" Target="../threadedComments/threadedComment1.xm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montevideo.gub.uy/noticias/movilidad-y-transporte/nueva-convocatoria-para-taxis-100-electricos" TargetMode="External"/><Relationship Id="rId11" Type="http://schemas.openxmlformats.org/officeDocument/2006/relationships/hyperlink" Target="https://www.ute.com.uy/sites/default/files/docs/Pliego%20Tarifario%20Vigente%20desde%201%20de%20Enero%20de%202022.pdf" TargetMode="External"/><Relationship Id="rId5" Type="http://schemas.openxmlformats.org/officeDocument/2006/relationships/hyperlink" Target="https://repositorio.cepal.org/bitstream/handle/11362/44592/1/S1900191_es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energy.gov/sites/prod/files/2017/02/f34/67089%20EERE%20LIB%20cost%20vs%20price%20metrics%20r9.pdf" TargetMode="External"/><Relationship Id="rId4" Type="http://schemas.openxmlformats.org/officeDocument/2006/relationships/hyperlink" Target="https://montevideo.gub.uy/noticias/movilidad-y-transporte/nueva-convocatoria-para-taxis-100-electricos" TargetMode="External"/><Relationship Id="rId9" Type="http://schemas.openxmlformats.org/officeDocument/2006/relationships/hyperlink" Target="https://www.energy.gov/sites/prod/files/2017/02/f34/67089%20EERE%20LIB%20cost%20vs%20price%20metrics%20r9.pdf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805B-D8FA-4610-A1A6-CCD376B2E9F9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229" customWidth="1"/>
    <col min="16" max="16384" width="11.42578125" style="229"/>
  </cols>
  <sheetData>
    <row r="1" spans="1:15" ht="17.25" thickBot="1" x14ac:dyDescent="0.35">
      <c r="A1" s="238" t="s">
        <v>228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x14ac:dyDescent="0.3">
      <c r="A2" s="230"/>
      <c r="O2" s="231"/>
    </row>
    <row r="3" spans="1:15" x14ac:dyDescent="0.3">
      <c r="A3" s="230" t="s">
        <v>229</v>
      </c>
      <c r="O3" s="231"/>
    </row>
    <row r="4" spans="1:15" x14ac:dyDescent="0.3">
      <c r="A4" s="230"/>
      <c r="O4" s="231"/>
    </row>
    <row r="5" spans="1:15" x14ac:dyDescent="0.3">
      <c r="A5" s="232"/>
      <c r="B5" s="229" t="s">
        <v>230</v>
      </c>
      <c r="O5" s="231"/>
    </row>
    <row r="6" spans="1:15" x14ac:dyDescent="0.3">
      <c r="A6" s="230"/>
      <c r="O6" s="231"/>
    </row>
    <row r="7" spans="1:15" x14ac:dyDescent="0.3">
      <c r="A7" s="233"/>
      <c r="B7" s="229" t="s">
        <v>231</v>
      </c>
      <c r="O7" s="231"/>
    </row>
    <row r="8" spans="1:15" x14ac:dyDescent="0.3">
      <c r="A8" s="230"/>
      <c r="O8" s="231"/>
    </row>
    <row r="9" spans="1:15" x14ac:dyDescent="0.3">
      <c r="A9" s="234"/>
      <c r="B9" s="229" t="s">
        <v>232</v>
      </c>
      <c r="O9" s="231"/>
    </row>
    <row r="10" spans="1:15" x14ac:dyDescent="0.3">
      <c r="A10" s="230"/>
      <c r="O10" s="231"/>
    </row>
    <row r="11" spans="1:15" x14ac:dyDescent="0.3">
      <c r="A11" s="230"/>
      <c r="O11" s="231"/>
    </row>
    <row r="12" spans="1:15" x14ac:dyDescent="0.3">
      <c r="A12" s="230" t="s">
        <v>233</v>
      </c>
      <c r="O12" s="231"/>
    </row>
    <row r="13" spans="1:15" x14ac:dyDescent="0.3">
      <c r="A13" s="230"/>
      <c r="O13" s="231"/>
    </row>
    <row r="14" spans="1:15" ht="17.25" thickBot="1" x14ac:dyDescent="0.35">
      <c r="A14" s="235" t="s">
        <v>234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7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41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33.85546875" style="7" customWidth="1"/>
    <col min="2" max="2" width="18.140625" style="7" customWidth="1"/>
    <col min="3" max="5" width="21.28515625" style="7" customWidth="1"/>
    <col min="6" max="6" width="30.5703125" style="7" customWidth="1"/>
    <col min="7" max="7" width="10.85546875" style="7"/>
    <col min="8" max="9" width="15.140625" style="7" customWidth="1"/>
    <col min="10" max="10" width="12.7109375" style="7" customWidth="1"/>
    <col min="11" max="14" width="14" style="7" customWidth="1"/>
    <col min="15" max="15" width="14.42578125" style="7" customWidth="1"/>
    <col min="16" max="16384" width="10.85546875" style="7"/>
  </cols>
  <sheetData>
    <row r="1" spans="1:14" s="3" customFormat="1" x14ac:dyDescent="0.25">
      <c r="A1" s="241" t="s">
        <v>111</v>
      </c>
      <c r="B1" s="241"/>
      <c r="C1" s="241"/>
      <c r="D1" s="241"/>
      <c r="E1" s="241"/>
      <c r="F1" s="241"/>
    </row>
    <row r="2" spans="1:14" s="3" customFormat="1" x14ac:dyDescent="0.25">
      <c r="A2" s="242" t="s">
        <v>44</v>
      </c>
      <c r="B2" s="242"/>
      <c r="C2" s="242"/>
      <c r="D2" s="242"/>
      <c r="E2" s="242"/>
      <c r="F2" s="242"/>
      <c r="J2" s="7"/>
      <c r="K2" s="7"/>
    </row>
    <row r="3" spans="1:14" s="3" customFormat="1" ht="14.25" x14ac:dyDescent="0.25">
      <c r="A3" s="5" t="s">
        <v>45</v>
      </c>
      <c r="C3" s="4"/>
      <c r="D3" s="4"/>
      <c r="E3" s="4"/>
      <c r="F3" s="133" t="s">
        <v>46</v>
      </c>
      <c r="G3" s="133" t="s">
        <v>47</v>
      </c>
      <c r="H3" s="133" t="s">
        <v>91</v>
      </c>
      <c r="I3" s="133" t="s">
        <v>137</v>
      </c>
      <c r="J3" s="7"/>
      <c r="K3" s="7"/>
    </row>
    <row r="4" spans="1:14" s="3" customFormat="1" ht="16.5" x14ac:dyDescent="0.25">
      <c r="A4" s="6" t="s">
        <v>46</v>
      </c>
      <c r="B4" s="6" t="s">
        <v>47</v>
      </c>
      <c r="C4" s="6" t="s">
        <v>48</v>
      </c>
      <c r="D4" s="6" t="s">
        <v>49</v>
      </c>
      <c r="E4" s="7"/>
      <c r="F4" s="134" t="s">
        <v>109</v>
      </c>
      <c r="G4" s="134" t="s">
        <v>3</v>
      </c>
      <c r="H4" s="135">
        <f>C5</f>
        <v>9500</v>
      </c>
      <c r="I4" s="135">
        <f>C15</f>
        <v>32000</v>
      </c>
      <c r="J4" s="7"/>
      <c r="K4" s="7"/>
      <c r="M4" s="114" t="s">
        <v>129</v>
      </c>
    </row>
    <row r="5" spans="1:14" s="3" customFormat="1" ht="33" x14ac:dyDescent="0.25">
      <c r="A5" s="8" t="s">
        <v>1</v>
      </c>
      <c r="B5" s="8" t="s">
        <v>3</v>
      </c>
      <c r="C5" s="155">
        <v>9500</v>
      </c>
      <c r="D5" s="2" t="s">
        <v>30</v>
      </c>
      <c r="E5" s="7"/>
      <c r="F5" s="134" t="s">
        <v>153</v>
      </c>
      <c r="G5" s="134" t="s">
        <v>3</v>
      </c>
      <c r="H5" s="136" t="s">
        <v>42</v>
      </c>
      <c r="I5" s="137">
        <f>C26</f>
        <v>2000</v>
      </c>
      <c r="J5" s="7"/>
      <c r="K5" s="7"/>
      <c r="M5" s="3" t="s">
        <v>30</v>
      </c>
      <c r="N5" s="97" t="s">
        <v>31</v>
      </c>
    </row>
    <row r="6" spans="1:14" s="3" customFormat="1" ht="16.5" x14ac:dyDescent="0.25">
      <c r="A6" s="8" t="s">
        <v>50</v>
      </c>
      <c r="B6" s="8" t="s">
        <v>51</v>
      </c>
      <c r="C6" s="17">
        <v>8</v>
      </c>
      <c r="D6" s="2"/>
      <c r="E6" s="7"/>
      <c r="F6" s="134" t="s">
        <v>176</v>
      </c>
      <c r="G6" s="134" t="s">
        <v>51</v>
      </c>
      <c r="H6" s="136">
        <f>C6</f>
        <v>8</v>
      </c>
      <c r="I6" s="138">
        <f>C17</f>
        <v>8</v>
      </c>
      <c r="J6" s="7"/>
      <c r="K6" s="7"/>
      <c r="M6" s="3" t="s">
        <v>32</v>
      </c>
      <c r="N6" s="97" t="s">
        <v>33</v>
      </c>
    </row>
    <row r="7" spans="1:14" s="3" customFormat="1" ht="16.5" x14ac:dyDescent="0.25">
      <c r="A7" s="8" t="s">
        <v>52</v>
      </c>
      <c r="B7" s="8" t="s">
        <v>4</v>
      </c>
      <c r="C7" s="158">
        <f>1/11.8*100</f>
        <v>8.4745762711864394</v>
      </c>
      <c r="D7" s="2" t="s">
        <v>30</v>
      </c>
      <c r="E7" s="7"/>
      <c r="F7" s="134" t="s">
        <v>177</v>
      </c>
      <c r="G7" s="134" t="s">
        <v>51</v>
      </c>
      <c r="H7" s="141" t="s">
        <v>42</v>
      </c>
      <c r="I7" s="138">
        <f>C18</f>
        <v>8</v>
      </c>
      <c r="J7" s="7"/>
      <c r="K7" s="7"/>
      <c r="M7" s="3" t="s">
        <v>36</v>
      </c>
      <c r="N7" s="97" t="s">
        <v>35</v>
      </c>
    </row>
    <row r="8" spans="1:14" s="3" customFormat="1" ht="33" x14ac:dyDescent="0.25">
      <c r="A8" s="8" t="s">
        <v>53</v>
      </c>
      <c r="B8" s="8" t="s">
        <v>5</v>
      </c>
      <c r="C8" s="157">
        <f>(1080+340+1800)/(29*255.27)*C56</f>
        <v>1.0004282146152215E-2</v>
      </c>
      <c r="D8" s="2" t="s">
        <v>30</v>
      </c>
      <c r="E8" s="7"/>
      <c r="F8" s="134" t="s">
        <v>154</v>
      </c>
      <c r="G8" s="134" t="s">
        <v>5</v>
      </c>
      <c r="H8" s="139">
        <f>SUM(C8:C10)</f>
        <v>0.16583210745079924</v>
      </c>
      <c r="I8" s="139">
        <f>SUM(C20:C22)</f>
        <v>0.12275305795216154</v>
      </c>
      <c r="J8" s="7"/>
      <c r="K8" s="7"/>
      <c r="M8" s="3" t="s">
        <v>39</v>
      </c>
      <c r="N8" s="97" t="s">
        <v>40</v>
      </c>
    </row>
    <row r="9" spans="1:14" s="3" customFormat="1" ht="37.5" customHeight="1" x14ac:dyDescent="0.25">
      <c r="A9" s="8" t="s">
        <v>54</v>
      </c>
      <c r="B9" s="8" t="s">
        <v>5</v>
      </c>
      <c r="C9" s="157">
        <f>(2783+3450+2080)/(29*255.27)*C56</f>
        <v>2.5827825304647004E-2</v>
      </c>
      <c r="D9" s="2" t="s">
        <v>30</v>
      </c>
      <c r="E9" s="7"/>
      <c r="F9" s="134" t="s">
        <v>52</v>
      </c>
      <c r="G9" s="134" t="s">
        <v>42</v>
      </c>
      <c r="H9" s="136" t="s">
        <v>157</v>
      </c>
      <c r="I9" s="136" t="s">
        <v>216</v>
      </c>
      <c r="J9" s="7"/>
      <c r="K9" s="7"/>
    </row>
    <row r="10" spans="1:14" ht="16.5" x14ac:dyDescent="0.25">
      <c r="A10" s="8" t="s">
        <v>55</v>
      </c>
      <c r="B10" s="8" t="s">
        <v>5</v>
      </c>
      <c r="C10" s="157">
        <v>0.13</v>
      </c>
      <c r="D10" s="99" t="s">
        <v>112</v>
      </c>
      <c r="F10" s="134" t="s">
        <v>155</v>
      </c>
      <c r="G10" s="134" t="s">
        <v>73</v>
      </c>
      <c r="H10" s="246">
        <f>C41</f>
        <v>80000</v>
      </c>
      <c r="I10" s="247"/>
    </row>
    <row r="11" spans="1:14" ht="22.5" customHeight="1" x14ac:dyDescent="0.25">
      <c r="F11" s="134" t="s">
        <v>156</v>
      </c>
      <c r="G11" s="134" t="s">
        <v>77</v>
      </c>
      <c r="H11" s="247">
        <f>C44</f>
        <v>348</v>
      </c>
      <c r="I11" s="247"/>
    </row>
    <row r="12" spans="1:14" s="3" customFormat="1" x14ac:dyDescent="0.25">
      <c r="A12" s="5" t="s">
        <v>26</v>
      </c>
      <c r="C12" s="4"/>
      <c r="D12" s="4"/>
      <c r="E12" s="4"/>
      <c r="F12" s="7"/>
      <c r="G12" s="7"/>
      <c r="H12" s="7"/>
      <c r="I12" s="7"/>
      <c r="J12" s="7"/>
      <c r="K12" s="7"/>
    </row>
    <row r="13" spans="1:14" s="3" customFormat="1" x14ac:dyDescent="0.25">
      <c r="A13" s="6" t="s">
        <v>46</v>
      </c>
      <c r="B13" s="6" t="s">
        <v>47</v>
      </c>
      <c r="C13" s="6" t="s">
        <v>48</v>
      </c>
      <c r="D13" s="6" t="s">
        <v>49</v>
      </c>
      <c r="E13" s="7"/>
      <c r="F13" s="7"/>
      <c r="G13" s="7"/>
      <c r="H13" s="7"/>
      <c r="I13" s="7"/>
      <c r="J13" s="7"/>
      <c r="K13" s="7"/>
    </row>
    <row r="14" spans="1:14" s="3" customFormat="1" x14ac:dyDescent="0.25">
      <c r="A14" s="6"/>
      <c r="B14" s="6"/>
      <c r="C14" s="6"/>
      <c r="D14" s="6"/>
      <c r="E14" s="7"/>
      <c r="F14" s="98"/>
      <c r="G14" s="7"/>
      <c r="J14" s="7"/>
      <c r="K14" s="7"/>
    </row>
    <row r="15" spans="1:14" s="3" customFormat="1" x14ac:dyDescent="0.25">
      <c r="A15" s="8" t="s">
        <v>190</v>
      </c>
      <c r="B15" s="8" t="s">
        <v>3</v>
      </c>
      <c r="C15" s="18">
        <v>32000</v>
      </c>
      <c r="D15" s="52" t="s">
        <v>192</v>
      </c>
      <c r="E15" s="7"/>
      <c r="F15" s="7"/>
      <c r="G15" s="7"/>
      <c r="J15" s="7"/>
      <c r="K15" s="7"/>
    </row>
    <row r="16" spans="1:14" s="3" customFormat="1" x14ac:dyDescent="0.25">
      <c r="A16" s="8" t="s">
        <v>56</v>
      </c>
      <c r="B16" s="8" t="s">
        <v>27</v>
      </c>
      <c r="C16" s="159">
        <v>60</v>
      </c>
      <c r="D16" s="52"/>
      <c r="E16" s="7"/>
      <c r="F16" s="7"/>
      <c r="G16" s="7"/>
      <c r="J16" s="7"/>
      <c r="K16" s="7"/>
    </row>
    <row r="17" spans="1:7" s="3" customFormat="1" ht="27" x14ac:dyDescent="0.25">
      <c r="A17" s="8" t="s">
        <v>191</v>
      </c>
      <c r="B17" s="8" t="s">
        <v>51</v>
      </c>
      <c r="C17" s="156">
        <v>8</v>
      </c>
      <c r="D17" s="2" t="s">
        <v>58</v>
      </c>
      <c r="E17" s="7"/>
      <c r="F17" s="7"/>
      <c r="G17" s="7"/>
    </row>
    <row r="18" spans="1:7" s="3" customFormat="1" x14ac:dyDescent="0.25">
      <c r="A18" s="8" t="s">
        <v>57</v>
      </c>
      <c r="B18" s="8" t="s">
        <v>51</v>
      </c>
      <c r="C18" s="156">
        <v>8</v>
      </c>
      <c r="D18" s="2" t="s">
        <v>59</v>
      </c>
      <c r="E18" s="7"/>
      <c r="F18" s="7"/>
      <c r="G18" s="7"/>
    </row>
    <row r="19" spans="1:7" s="3" customFormat="1" ht="37.5" customHeight="1" x14ac:dyDescent="0.25">
      <c r="A19" s="8" t="s">
        <v>52</v>
      </c>
      <c r="B19" s="8" t="s">
        <v>7</v>
      </c>
      <c r="C19" s="156">
        <v>0.2</v>
      </c>
      <c r="D19" s="2" t="s">
        <v>193</v>
      </c>
      <c r="E19" s="7"/>
      <c r="F19" s="7"/>
      <c r="G19" s="7"/>
    </row>
    <row r="20" spans="1:7" ht="54" x14ac:dyDescent="0.25">
      <c r="A20" s="8" t="s">
        <v>53</v>
      </c>
      <c r="B20" s="8" t="s">
        <v>5</v>
      </c>
      <c r="C20" s="160">
        <f>C8*1.1</f>
        <v>1.1004710360767438E-2</v>
      </c>
      <c r="D20" s="2" t="s">
        <v>60</v>
      </c>
    </row>
    <row r="21" spans="1:7" ht="27" x14ac:dyDescent="0.25">
      <c r="A21" s="8" t="s">
        <v>54</v>
      </c>
      <c r="B21" s="8" t="s">
        <v>5</v>
      </c>
      <c r="C21" s="160">
        <f>C9*0.3</f>
        <v>7.7483475913941013E-3</v>
      </c>
      <c r="D21" s="2" t="s">
        <v>62</v>
      </c>
    </row>
    <row r="22" spans="1:7" ht="27" x14ac:dyDescent="0.25">
      <c r="A22" s="8" t="s">
        <v>55</v>
      </c>
      <c r="B22" s="8" t="s">
        <v>5</v>
      </c>
      <c r="C22" s="160">
        <f>C10*0.8</f>
        <v>0.10400000000000001</v>
      </c>
      <c r="D22" s="2" t="s">
        <v>61</v>
      </c>
    </row>
    <row r="23" spans="1:7" s="10" customFormat="1" x14ac:dyDescent="0.25">
      <c r="A23" s="9"/>
      <c r="B23" s="9"/>
      <c r="C23" s="92"/>
      <c r="D23" s="93"/>
    </row>
    <row r="24" spans="1:7" s="3" customFormat="1" x14ac:dyDescent="0.25">
      <c r="A24" s="5" t="s">
        <v>89</v>
      </c>
      <c r="C24" s="4"/>
      <c r="D24" s="4"/>
      <c r="E24" s="4"/>
    </row>
    <row r="25" spans="1:7" s="3" customFormat="1" x14ac:dyDescent="0.25">
      <c r="A25" s="6" t="s">
        <v>46</v>
      </c>
      <c r="B25" s="6" t="s">
        <v>47</v>
      </c>
      <c r="C25" s="6" t="s">
        <v>48</v>
      </c>
      <c r="D25" s="6" t="s">
        <v>49</v>
      </c>
      <c r="E25" s="7"/>
      <c r="F25" s="7"/>
      <c r="G25" s="7"/>
    </row>
    <row r="26" spans="1:7" ht="40.5" x14ac:dyDescent="0.25">
      <c r="A26" s="8" t="s">
        <v>63</v>
      </c>
      <c r="B26" s="8" t="s">
        <v>3</v>
      </c>
      <c r="C26" s="160">
        <v>2000</v>
      </c>
      <c r="D26" s="2" t="s">
        <v>68</v>
      </c>
    </row>
    <row r="27" spans="1:7" x14ac:dyDescent="0.25">
      <c r="A27" s="8" t="s">
        <v>172</v>
      </c>
      <c r="B27" s="8" t="s">
        <v>173</v>
      </c>
      <c r="C27" s="161">
        <v>7.4</v>
      </c>
      <c r="D27" s="2"/>
    </row>
    <row r="28" spans="1:7" x14ac:dyDescent="0.25">
      <c r="A28" s="8" t="s">
        <v>174</v>
      </c>
      <c r="B28" s="8" t="s">
        <v>9</v>
      </c>
      <c r="C28" s="160">
        <v>200</v>
      </c>
      <c r="D28" s="2" t="s">
        <v>175</v>
      </c>
    </row>
    <row r="29" spans="1:7" s="3" customFormat="1" ht="27" x14ac:dyDescent="0.25">
      <c r="A29" s="8" t="s">
        <v>171</v>
      </c>
      <c r="B29" s="8" t="s">
        <v>12</v>
      </c>
      <c r="C29" s="162">
        <v>0.7</v>
      </c>
      <c r="D29" s="245" t="s">
        <v>67</v>
      </c>
      <c r="E29" s="7"/>
      <c r="F29" s="7"/>
      <c r="G29" s="7"/>
    </row>
    <row r="30" spans="1:7" s="3" customFormat="1" ht="27" x14ac:dyDescent="0.25">
      <c r="A30" s="8" t="s">
        <v>65</v>
      </c>
      <c r="B30" s="8" t="s">
        <v>12</v>
      </c>
      <c r="C30" s="162">
        <v>0.3</v>
      </c>
      <c r="D30" s="245"/>
      <c r="E30" s="7"/>
      <c r="F30" s="7"/>
      <c r="G30" s="7"/>
    </row>
    <row r="31" spans="1:7" s="3" customFormat="1" x14ac:dyDescent="0.25">
      <c r="A31" s="8" t="s">
        <v>64</v>
      </c>
      <c r="B31" s="8" t="s">
        <v>66</v>
      </c>
      <c r="C31" s="159">
        <v>10</v>
      </c>
      <c r="D31" s="2" t="s">
        <v>69</v>
      </c>
      <c r="E31" s="7"/>
      <c r="F31" s="7"/>
      <c r="G31" s="7"/>
    </row>
    <row r="33" spans="1:9" s="3" customFormat="1" x14ac:dyDescent="0.25">
      <c r="A33" s="5" t="s">
        <v>70</v>
      </c>
      <c r="C33" s="4"/>
      <c r="D33" s="4"/>
      <c r="E33" s="4"/>
    </row>
    <row r="34" spans="1:9" s="3" customFormat="1" x14ac:dyDescent="0.25">
      <c r="A34" s="6" t="s">
        <v>46</v>
      </c>
      <c r="B34" s="6" t="s">
        <v>47</v>
      </c>
      <c r="C34" s="6" t="s">
        <v>48</v>
      </c>
      <c r="D34" s="6" t="s">
        <v>49</v>
      </c>
      <c r="E34" s="7"/>
      <c r="F34" s="7"/>
      <c r="G34" s="7"/>
    </row>
    <row r="35" spans="1:9" ht="27" x14ac:dyDescent="0.25">
      <c r="A35" s="8" t="s">
        <v>178</v>
      </c>
      <c r="B35" s="8" t="s">
        <v>12</v>
      </c>
      <c r="C35" s="162">
        <v>0.5</v>
      </c>
      <c r="D35" s="2" t="s">
        <v>179</v>
      </c>
      <c r="E35" s="97" t="s">
        <v>180</v>
      </c>
    </row>
    <row r="36" spans="1:9" s="3" customFormat="1" ht="27" x14ac:dyDescent="0.25">
      <c r="A36" s="8" t="s">
        <v>181</v>
      </c>
      <c r="B36" s="8" t="s">
        <v>12</v>
      </c>
      <c r="C36" s="162">
        <v>0.7</v>
      </c>
      <c r="D36" s="2" t="s">
        <v>179</v>
      </c>
      <c r="E36" s="97" t="s">
        <v>180</v>
      </c>
      <c r="F36" s="7"/>
      <c r="G36" s="7"/>
    </row>
    <row r="38" spans="1:9" x14ac:dyDescent="0.25">
      <c r="A38" s="243" t="s">
        <v>71</v>
      </c>
      <c r="B38" s="243"/>
      <c r="C38" s="243"/>
      <c r="D38" s="243"/>
      <c r="E38" s="244" t="s">
        <v>114</v>
      </c>
      <c r="F38" s="244"/>
      <c r="G38" s="244"/>
      <c r="H38" s="244"/>
      <c r="I38" s="244"/>
    </row>
    <row r="39" spans="1:9" x14ac:dyDescent="0.25">
      <c r="G39" s="65"/>
      <c r="H39" s="64" t="s">
        <v>144</v>
      </c>
      <c r="I39" s="64" t="s">
        <v>143</v>
      </c>
    </row>
    <row r="40" spans="1:9" x14ac:dyDescent="0.25">
      <c r="A40" s="6" t="s">
        <v>46</v>
      </c>
      <c r="B40" s="6" t="s">
        <v>47</v>
      </c>
      <c r="C40" s="6" t="s">
        <v>48</v>
      </c>
      <c r="D40" s="6" t="s">
        <v>49</v>
      </c>
      <c r="F40" s="6" t="s">
        <v>0</v>
      </c>
      <c r="G40" s="6" t="s">
        <v>2</v>
      </c>
      <c r="H40" s="6" t="s">
        <v>6</v>
      </c>
    </row>
    <row r="41" spans="1:9" ht="40.5" x14ac:dyDescent="0.25">
      <c r="A41" s="8" t="s">
        <v>72</v>
      </c>
      <c r="B41" s="8" t="s">
        <v>73</v>
      </c>
      <c r="C41" s="17">
        <v>80000</v>
      </c>
      <c r="D41" s="52" t="s">
        <v>142</v>
      </c>
      <c r="F41" s="8" t="s">
        <v>72</v>
      </c>
      <c r="G41" s="8" t="s">
        <v>73</v>
      </c>
      <c r="H41" s="17">
        <v>130000</v>
      </c>
      <c r="I41" s="17">
        <v>30000</v>
      </c>
    </row>
    <row r="42" spans="1:9" x14ac:dyDescent="0.25">
      <c r="A42" s="8" t="s">
        <v>74</v>
      </c>
      <c r="B42" s="8" t="s">
        <v>11</v>
      </c>
      <c r="C42" s="163">
        <f>C41*C6</f>
        <v>640000</v>
      </c>
      <c r="D42" s="1" t="s">
        <v>80</v>
      </c>
      <c r="F42" s="8" t="s">
        <v>74</v>
      </c>
      <c r="G42" s="8" t="s">
        <v>11</v>
      </c>
      <c r="H42" s="11">
        <f>H41*C6</f>
        <v>1040000</v>
      </c>
      <c r="I42" s="11">
        <f>I41*C6</f>
        <v>240000</v>
      </c>
    </row>
    <row r="43" spans="1:9" x14ac:dyDescent="0.25">
      <c r="A43" s="8" t="s">
        <v>75</v>
      </c>
      <c r="B43" s="8" t="s">
        <v>11</v>
      </c>
      <c r="C43" s="163">
        <f>C41*$C$17</f>
        <v>640000</v>
      </c>
      <c r="D43" s="1" t="s">
        <v>80</v>
      </c>
      <c r="F43" s="8" t="s">
        <v>75</v>
      </c>
      <c r="G43" s="8" t="s">
        <v>11</v>
      </c>
      <c r="H43" s="11">
        <f>H41*C18</f>
        <v>1040000</v>
      </c>
      <c r="I43" s="11">
        <f>I41*C17</f>
        <v>240000</v>
      </c>
    </row>
    <row r="44" spans="1:9" x14ac:dyDescent="0.25">
      <c r="A44" s="8" t="s">
        <v>76</v>
      </c>
      <c r="B44" s="8" t="s">
        <v>77</v>
      </c>
      <c r="C44" s="17">
        <f>29*12</f>
        <v>348</v>
      </c>
      <c r="D44" s="1" t="s">
        <v>69</v>
      </c>
      <c r="F44" s="8" t="s">
        <v>76</v>
      </c>
      <c r="G44" s="8" t="s">
        <v>77</v>
      </c>
      <c r="H44" s="17">
        <v>300</v>
      </c>
      <c r="I44" s="17">
        <v>300</v>
      </c>
    </row>
    <row r="45" spans="1:9" x14ac:dyDescent="0.25">
      <c r="A45" s="8" t="s">
        <v>78</v>
      </c>
      <c r="B45" s="8" t="s">
        <v>11</v>
      </c>
      <c r="C45" s="11">
        <f>C41/C44</f>
        <v>229.88505747126436</v>
      </c>
      <c r="D45" s="1" t="s">
        <v>80</v>
      </c>
      <c r="F45" s="8" t="s">
        <v>78</v>
      </c>
      <c r="G45" s="8" t="s">
        <v>11</v>
      </c>
      <c r="H45" s="11">
        <f>H41/H44</f>
        <v>433.33333333333331</v>
      </c>
      <c r="I45" s="11">
        <f>I41/I44</f>
        <v>100</v>
      </c>
    </row>
    <row r="46" spans="1:9" ht="12" customHeight="1" x14ac:dyDescent="0.25">
      <c r="A46" s="8" t="s">
        <v>79</v>
      </c>
      <c r="B46" s="8" t="s">
        <v>10</v>
      </c>
      <c r="C46" s="11">
        <f>C45*$C$19</f>
        <v>45.977011494252878</v>
      </c>
      <c r="D46" s="1" t="s">
        <v>80</v>
      </c>
      <c r="F46" s="8" t="s">
        <v>79</v>
      </c>
      <c r="G46" s="8" t="s">
        <v>10</v>
      </c>
      <c r="H46" s="11">
        <f>H45*$C$19</f>
        <v>86.666666666666671</v>
      </c>
      <c r="I46" s="11">
        <f>I45*$C$19</f>
        <v>20</v>
      </c>
    </row>
    <row r="47" spans="1:9" s="10" customFormat="1" ht="12" customHeight="1" x14ac:dyDescent="0.25">
      <c r="A47" s="9"/>
      <c r="B47" s="9"/>
      <c r="C47" s="14"/>
      <c r="D47" s="12"/>
    </row>
    <row r="49" spans="1:13" x14ac:dyDescent="0.25">
      <c r="A49" s="243" t="s">
        <v>90</v>
      </c>
      <c r="B49" s="243"/>
      <c r="C49" s="243"/>
      <c r="D49" s="243"/>
      <c r="E49" s="243"/>
      <c r="F49" s="243"/>
    </row>
    <row r="50" spans="1:13" x14ac:dyDescent="0.25">
      <c r="A50" s="5"/>
    </row>
    <row r="51" spans="1:13" x14ac:dyDescent="0.25">
      <c r="A51" s="6" t="s">
        <v>46</v>
      </c>
      <c r="B51" s="6" t="s">
        <v>47</v>
      </c>
      <c r="C51" s="6" t="s">
        <v>48</v>
      </c>
      <c r="D51" s="6" t="s">
        <v>49</v>
      </c>
    </row>
    <row r="52" spans="1:13" ht="27" x14ac:dyDescent="0.25">
      <c r="A52" s="8" t="s">
        <v>81</v>
      </c>
      <c r="B52" s="8" t="s">
        <v>12</v>
      </c>
      <c r="C52" s="19">
        <v>0.7</v>
      </c>
      <c r="D52" s="2"/>
    </row>
    <row r="53" spans="1:13" x14ac:dyDescent="0.25">
      <c r="A53" s="8" t="s">
        <v>82</v>
      </c>
      <c r="B53" s="8" t="s">
        <v>51</v>
      </c>
      <c r="C53" s="115">
        <v>5</v>
      </c>
      <c r="D53" s="2"/>
    </row>
    <row r="54" spans="1:13" x14ac:dyDescent="0.25">
      <c r="A54" s="8" t="s">
        <v>83</v>
      </c>
      <c r="B54" s="8" t="s">
        <v>84</v>
      </c>
      <c r="C54" s="19">
        <v>0.1</v>
      </c>
      <c r="D54" s="1" t="s">
        <v>32</v>
      </c>
    </row>
    <row r="55" spans="1:13" x14ac:dyDescent="0.25">
      <c r="A55" s="8" t="s">
        <v>85</v>
      </c>
      <c r="B55" s="8" t="s">
        <v>84</v>
      </c>
      <c r="C55" s="19">
        <v>0.1</v>
      </c>
      <c r="D55" s="1" t="s">
        <v>32</v>
      </c>
    </row>
    <row r="56" spans="1:13" ht="60" x14ac:dyDescent="0.25">
      <c r="A56" s="8" t="s">
        <v>86</v>
      </c>
      <c r="B56" s="8" t="s">
        <v>87</v>
      </c>
      <c r="C56" s="158">
        <v>2.3E-2</v>
      </c>
      <c r="D56" s="21" t="s">
        <v>14</v>
      </c>
    </row>
    <row r="60" spans="1:13" ht="14.25" thickBot="1" x14ac:dyDescent="0.3">
      <c r="A60" s="243" t="s">
        <v>88</v>
      </c>
      <c r="B60" s="243"/>
      <c r="C60" s="243"/>
      <c r="D60" s="243"/>
      <c r="E60" s="243"/>
      <c r="F60" s="243"/>
      <c r="G60" s="243"/>
    </row>
    <row r="61" spans="1:13" x14ac:dyDescent="0.25">
      <c r="A61" s="164"/>
      <c r="B61" s="165" t="s">
        <v>195</v>
      </c>
      <c r="C61" s="165" t="s">
        <v>196</v>
      </c>
      <c r="D61" s="145"/>
      <c r="E61" s="145"/>
      <c r="F61" s="145"/>
      <c r="G61" s="146"/>
    </row>
    <row r="62" spans="1:13" x14ac:dyDescent="0.25">
      <c r="A62" s="147" t="s">
        <v>225</v>
      </c>
      <c r="B62" s="171">
        <v>74.88</v>
      </c>
      <c r="C62" s="166">
        <f>B62*$C$56</f>
        <v>1.7222399999999998</v>
      </c>
      <c r="D62" s="15"/>
      <c r="E62" s="15"/>
      <c r="F62" s="15"/>
      <c r="G62" s="149"/>
      <c r="J62" s="64"/>
      <c r="K62" s="64"/>
      <c r="L62" s="64"/>
      <c r="M62" s="64"/>
    </row>
    <row r="63" spans="1:13" x14ac:dyDescent="0.25">
      <c r="A63" s="147"/>
      <c r="B63" s="249" t="s">
        <v>226</v>
      </c>
      <c r="C63" s="249"/>
      <c r="D63" s="249" t="s">
        <v>227</v>
      </c>
      <c r="E63" s="249"/>
      <c r="F63" s="15"/>
      <c r="G63" s="149"/>
      <c r="J63" s="64"/>
      <c r="K63" s="64"/>
      <c r="L63" s="64"/>
      <c r="M63" s="64"/>
    </row>
    <row r="64" spans="1:13" x14ac:dyDescent="0.25">
      <c r="A64" s="147"/>
      <c r="B64" s="172" t="s">
        <v>197</v>
      </c>
      <c r="C64" s="172" t="s">
        <v>198</v>
      </c>
      <c r="D64" s="172" t="s">
        <v>197</v>
      </c>
      <c r="E64" s="172" t="s">
        <v>198</v>
      </c>
      <c r="F64" s="15"/>
      <c r="G64" s="149"/>
      <c r="J64" s="64"/>
      <c r="K64" s="64"/>
      <c r="L64" s="64"/>
      <c r="M64" s="64"/>
    </row>
    <row r="65" spans="1:14" x14ac:dyDescent="0.25">
      <c r="A65" s="147" t="s">
        <v>199</v>
      </c>
      <c r="B65" s="167">
        <v>3.363</v>
      </c>
      <c r="C65" s="166">
        <f>B65*$C$56</f>
        <v>7.7349000000000001E-2</v>
      </c>
      <c r="D65" s="167">
        <v>6.2530000000000001</v>
      </c>
      <c r="E65" s="166">
        <f>D65*$C$56</f>
        <v>0.143819</v>
      </c>
      <c r="F65" s="15"/>
      <c r="G65" s="149"/>
      <c r="J65" s="64"/>
      <c r="K65" s="64"/>
      <c r="L65" s="64"/>
      <c r="M65" s="64"/>
    </row>
    <row r="66" spans="1:14" x14ac:dyDescent="0.25">
      <c r="A66" s="147"/>
      <c r="B66" s="172" t="s">
        <v>200</v>
      </c>
      <c r="C66" s="172" t="s">
        <v>201</v>
      </c>
      <c r="D66" s="15"/>
      <c r="E66" s="15"/>
      <c r="F66" s="168" t="s">
        <v>202</v>
      </c>
      <c r="G66" s="149"/>
      <c r="J66" s="64"/>
      <c r="K66" s="64"/>
      <c r="L66" s="64"/>
      <c r="M66" s="64"/>
    </row>
    <row r="67" spans="1:14" x14ac:dyDescent="0.25">
      <c r="A67" s="147" t="s">
        <v>203</v>
      </c>
      <c r="B67" s="167">
        <v>0</v>
      </c>
      <c r="C67" s="166">
        <f>B67*$C$56</f>
        <v>0</v>
      </c>
      <c r="D67" s="15"/>
      <c r="E67" s="15"/>
      <c r="F67" s="173">
        <v>1</v>
      </c>
      <c r="G67" s="149"/>
      <c r="J67" s="64"/>
      <c r="K67" s="64"/>
      <c r="L67" s="64"/>
      <c r="M67" s="64"/>
    </row>
    <row r="68" spans="1:14" x14ac:dyDescent="0.25">
      <c r="A68" s="147" t="s">
        <v>204</v>
      </c>
      <c r="B68" s="167">
        <f>B67*(1-F67)</f>
        <v>0</v>
      </c>
      <c r="C68" s="166">
        <f>B68*$C$56</f>
        <v>0</v>
      </c>
      <c r="D68" s="15"/>
      <c r="E68" s="15"/>
      <c r="F68" s="15"/>
      <c r="G68" s="149"/>
      <c r="J68" s="64"/>
      <c r="K68" s="64"/>
      <c r="L68" s="64"/>
      <c r="M68" s="64"/>
    </row>
    <row r="69" spans="1:14" x14ac:dyDescent="0.25">
      <c r="A69" s="147"/>
      <c r="B69" s="172" t="s">
        <v>205</v>
      </c>
      <c r="C69" s="172" t="s">
        <v>206</v>
      </c>
      <c r="D69" s="15"/>
      <c r="E69" s="15"/>
      <c r="F69" s="15"/>
      <c r="G69" s="149"/>
      <c r="J69" s="64"/>
      <c r="K69" s="64"/>
      <c r="L69" s="64"/>
      <c r="M69" s="64"/>
    </row>
    <row r="70" spans="1:14" x14ac:dyDescent="0.25">
      <c r="A70" s="147" t="s">
        <v>207</v>
      </c>
      <c r="B70" s="167">
        <v>784.4</v>
      </c>
      <c r="C70" s="166">
        <f>B70*$C$56</f>
        <v>18.0412</v>
      </c>
      <c r="D70" s="15"/>
      <c r="E70" s="15"/>
      <c r="F70" s="15"/>
      <c r="G70" s="149"/>
      <c r="J70" s="64"/>
      <c r="K70" s="64"/>
      <c r="L70" s="64"/>
      <c r="M70" s="64"/>
    </row>
    <row r="71" spans="1:14" ht="14.25" thickBot="1" x14ac:dyDescent="0.3">
      <c r="A71" s="150" t="s">
        <v>204</v>
      </c>
      <c r="B71" s="169">
        <f>B70*(1-F67)</f>
        <v>0</v>
      </c>
      <c r="C71" s="170">
        <f>B71*$C$56</f>
        <v>0</v>
      </c>
      <c r="D71" s="152"/>
      <c r="E71" s="152"/>
      <c r="F71" s="152"/>
      <c r="G71" s="153"/>
      <c r="J71" s="64"/>
      <c r="K71" s="64"/>
      <c r="L71" s="64"/>
      <c r="M71" s="64"/>
    </row>
    <row r="72" spans="1:14" x14ac:dyDescent="0.25">
      <c r="A72" s="168"/>
      <c r="B72" s="166"/>
      <c r="C72" s="166"/>
      <c r="J72" s="64"/>
      <c r="K72" s="64"/>
      <c r="L72" s="64"/>
      <c r="M72" s="64"/>
    </row>
    <row r="73" spans="1:14" ht="15.75" thickBot="1" x14ac:dyDescent="0.3">
      <c r="A73" s="97"/>
      <c r="J73" s="13"/>
      <c r="K73" s="13"/>
      <c r="L73" s="13"/>
      <c r="M73" s="13"/>
    </row>
    <row r="74" spans="1:14" x14ac:dyDescent="0.25">
      <c r="A74" s="142" t="s">
        <v>215</v>
      </c>
      <c r="B74" s="143">
        <v>0</v>
      </c>
      <c r="C74" s="144"/>
      <c r="D74" s="145" t="s">
        <v>210</v>
      </c>
      <c r="E74" s="145"/>
      <c r="F74" s="145"/>
      <c r="G74" s="146"/>
      <c r="H74" s="15"/>
      <c r="J74" s="13"/>
      <c r="K74" s="13"/>
      <c r="L74" s="13"/>
      <c r="M74" s="13"/>
    </row>
    <row r="75" spans="1:14" x14ac:dyDescent="0.25">
      <c r="A75" s="147" t="s">
        <v>186</v>
      </c>
      <c r="B75" s="148">
        <v>0</v>
      </c>
      <c r="C75" s="154"/>
      <c r="D75" s="7" t="s">
        <v>209</v>
      </c>
      <c r="E75" s="15"/>
      <c r="F75" s="15"/>
      <c r="G75" s="149"/>
      <c r="H75" s="15"/>
      <c r="J75" s="13"/>
      <c r="K75" s="13"/>
      <c r="L75" s="13"/>
      <c r="M75" s="13"/>
    </row>
    <row r="76" spans="1:14" x14ac:dyDescent="0.25">
      <c r="A76" s="147" t="s">
        <v>188</v>
      </c>
      <c r="B76" s="148">
        <v>0</v>
      </c>
      <c r="C76" s="154"/>
      <c r="D76" s="7" t="s">
        <v>187</v>
      </c>
      <c r="E76" s="15"/>
      <c r="F76" s="15"/>
      <c r="G76" s="149"/>
      <c r="H76" s="15"/>
      <c r="K76" s="248" t="s">
        <v>114</v>
      </c>
      <c r="L76" s="248"/>
      <c r="M76" s="248"/>
      <c r="N76" s="248"/>
    </row>
    <row r="77" spans="1:14" ht="14.25" thickBot="1" x14ac:dyDescent="0.3">
      <c r="A77" s="150" t="s">
        <v>208</v>
      </c>
      <c r="B77" s="151">
        <v>0</v>
      </c>
      <c r="C77" s="152"/>
      <c r="D77" s="152"/>
      <c r="E77" s="152"/>
      <c r="F77" s="152"/>
      <c r="G77" s="153"/>
      <c r="H77" s="15"/>
      <c r="K77" s="64" t="s">
        <v>144</v>
      </c>
      <c r="L77" s="64" t="s">
        <v>143</v>
      </c>
      <c r="M77" s="64" t="s">
        <v>144</v>
      </c>
      <c r="N77" s="64" t="s">
        <v>143</v>
      </c>
    </row>
    <row r="78" spans="1:14" ht="38.25" x14ac:dyDescent="0.25">
      <c r="A78" s="6" t="s">
        <v>108</v>
      </c>
      <c r="B78" s="6" t="s">
        <v>214</v>
      </c>
      <c r="C78" s="94" t="s">
        <v>92</v>
      </c>
      <c r="D78" s="94" t="s">
        <v>93</v>
      </c>
      <c r="E78" s="6" t="s">
        <v>211</v>
      </c>
      <c r="F78" s="6" t="s">
        <v>207</v>
      </c>
      <c r="H78" s="6" t="s">
        <v>214</v>
      </c>
      <c r="I78" s="6" t="s">
        <v>113</v>
      </c>
      <c r="K78" s="6" t="s">
        <v>214</v>
      </c>
      <c r="L78" s="6" t="s">
        <v>214</v>
      </c>
      <c r="M78" s="6" t="s">
        <v>113</v>
      </c>
      <c r="N78" s="6" t="s">
        <v>113</v>
      </c>
    </row>
    <row r="79" spans="1:14" x14ac:dyDescent="0.25">
      <c r="A79" s="8"/>
      <c r="B79" s="8" t="s">
        <v>13</v>
      </c>
      <c r="C79" s="8" t="s">
        <v>9</v>
      </c>
      <c r="D79" s="8" t="s">
        <v>9</v>
      </c>
      <c r="E79" s="8" t="s">
        <v>182</v>
      </c>
      <c r="F79" s="8" t="s">
        <v>3</v>
      </c>
      <c r="H79" s="8" t="s">
        <v>3</v>
      </c>
      <c r="I79" s="8" t="s">
        <v>3</v>
      </c>
      <c r="K79" s="8" t="s">
        <v>3</v>
      </c>
      <c r="L79" s="8" t="s">
        <v>3</v>
      </c>
      <c r="M79" s="8" t="s">
        <v>3</v>
      </c>
      <c r="N79" s="8" t="s">
        <v>3</v>
      </c>
    </row>
    <row r="80" spans="1:14" s="15" customFormat="1" x14ac:dyDescent="0.25">
      <c r="A80" s="8">
        <v>2022</v>
      </c>
      <c r="B80" s="23">
        <f>C62</f>
        <v>1.7222399999999998</v>
      </c>
      <c r="C80" s="23">
        <f>C65</f>
        <v>7.7349000000000001E-2</v>
      </c>
      <c r="D80" s="23">
        <f>E65</f>
        <v>0.143819</v>
      </c>
      <c r="E80" s="23">
        <f>C68*12</f>
        <v>0</v>
      </c>
      <c r="F80" s="23">
        <f>C71*12</f>
        <v>0</v>
      </c>
      <c r="G80" s="7"/>
      <c r="H80" s="24">
        <f>$B80*$C$7/100*$C$41</f>
        <v>11676.203389830504</v>
      </c>
      <c r="I80" s="24">
        <f>($C80*$C$29+$D80*$C$30)*$C$19*$C$41+$E80*$C$27+$F80</f>
        <v>1556.6400000000003</v>
      </c>
      <c r="J80" s="7"/>
      <c r="K80" s="24">
        <f>$B80*$C$7/100*$H$41</f>
        <v>18973.83050847457</v>
      </c>
      <c r="L80" s="24">
        <f>$B80*$C$7/100*$I$41</f>
        <v>4378.576271186439</v>
      </c>
      <c r="M80" s="24">
        <f>($C80*$C$29+$D80*$C$30)*$C$19*$H$41+$E80*$C$27+$F80</f>
        <v>2529.5400000000004</v>
      </c>
      <c r="N80" s="24">
        <f>($C80*$C$29+$D80*$C$30)*$C$19*$I$41+$E80*$C$27+$F80</f>
        <v>583.74000000000012</v>
      </c>
    </row>
    <row r="81" spans="1:14" x14ac:dyDescent="0.25">
      <c r="A81" s="8">
        <v>2023</v>
      </c>
      <c r="B81" s="23">
        <f>B80*(1+$B$74)</f>
        <v>1.7222399999999998</v>
      </c>
      <c r="C81" s="23">
        <f>C80*(1+$B$75)</f>
        <v>7.7349000000000001E-2</v>
      </c>
      <c r="D81" s="23">
        <f>D80*(1+$B$75)</f>
        <v>0.143819</v>
      </c>
      <c r="E81" s="23">
        <f t="shared" ref="E81:E108" si="0">E80*(1+$B$76)</f>
        <v>0</v>
      </c>
      <c r="F81" s="23">
        <f t="shared" ref="F81:F108" si="1">F80*(1+$B$77)</f>
        <v>0</v>
      </c>
      <c r="H81" s="24">
        <f t="shared" ref="H81:H108" si="2">$B81*$C$7/100*$C$41</f>
        <v>11676.203389830504</v>
      </c>
      <c r="I81" s="24">
        <f>($C81*$C$29+$D81*$C$30)*$C$19*$C$41+$E81*$C$27+$F81</f>
        <v>1556.6400000000003</v>
      </c>
      <c r="J81" s="140"/>
      <c r="K81" s="24">
        <f t="shared" ref="K81:K108" si="3">$B81*$C$7/100*$H$41</f>
        <v>18973.83050847457</v>
      </c>
      <c r="L81" s="24">
        <f t="shared" ref="L81:L108" si="4">$B81*$C$7/100*$I$41</f>
        <v>4378.576271186439</v>
      </c>
      <c r="M81" s="24">
        <f t="shared" ref="M81:M108" si="5">($C81*$C$29+$D81*$C$30)*$C$19*$H$41+$E81*$C$27+$F81</f>
        <v>2529.5400000000004</v>
      </c>
      <c r="N81" s="24">
        <f t="shared" ref="N81:N108" si="6">($C81*$C$29+$D81*$C$30)*$C$19*$I$41+$E81*$C$27+$F81</f>
        <v>583.74000000000012</v>
      </c>
    </row>
    <row r="82" spans="1:14" x14ac:dyDescent="0.25">
      <c r="A82" s="8">
        <v>2024</v>
      </c>
      <c r="B82" s="23">
        <f t="shared" ref="B82:B108" si="7">B81*(1+$B$74)</f>
        <v>1.7222399999999998</v>
      </c>
      <c r="C82" s="23">
        <f t="shared" ref="C82:D108" si="8">C81*(1+$B$75)</f>
        <v>7.7349000000000001E-2</v>
      </c>
      <c r="D82" s="23">
        <f t="shared" si="8"/>
        <v>0.143819</v>
      </c>
      <c r="E82" s="23">
        <f t="shared" si="0"/>
        <v>0</v>
      </c>
      <c r="F82" s="23">
        <f t="shared" si="1"/>
        <v>0</v>
      </c>
      <c r="H82" s="24">
        <f t="shared" si="2"/>
        <v>11676.203389830504</v>
      </c>
      <c r="I82" s="24">
        <f t="shared" ref="I82:I108" si="9">($C82*$C$29+$D82*$C$30)*$C$19*$C$41+$E82*$C$27+$F82</f>
        <v>1556.6400000000003</v>
      </c>
      <c r="K82" s="24">
        <f t="shared" si="3"/>
        <v>18973.83050847457</v>
      </c>
      <c r="L82" s="24">
        <f t="shared" si="4"/>
        <v>4378.576271186439</v>
      </c>
      <c r="M82" s="24">
        <f t="shared" si="5"/>
        <v>2529.5400000000004</v>
      </c>
      <c r="N82" s="24">
        <f t="shared" si="6"/>
        <v>583.74000000000012</v>
      </c>
    </row>
    <row r="83" spans="1:14" x14ac:dyDescent="0.25">
      <c r="A83" s="8">
        <v>2025</v>
      </c>
      <c r="B83" s="23">
        <f t="shared" si="7"/>
        <v>1.7222399999999998</v>
      </c>
      <c r="C83" s="23">
        <f t="shared" si="8"/>
        <v>7.7349000000000001E-2</v>
      </c>
      <c r="D83" s="23">
        <f t="shared" si="8"/>
        <v>0.143819</v>
      </c>
      <c r="E83" s="23">
        <f t="shared" si="0"/>
        <v>0</v>
      </c>
      <c r="F83" s="23">
        <f t="shared" si="1"/>
        <v>0</v>
      </c>
      <c r="H83" s="24">
        <f t="shared" si="2"/>
        <v>11676.203389830504</v>
      </c>
      <c r="I83" s="24">
        <f t="shared" si="9"/>
        <v>1556.6400000000003</v>
      </c>
      <c r="K83" s="24">
        <f t="shared" si="3"/>
        <v>18973.83050847457</v>
      </c>
      <c r="L83" s="24">
        <f t="shared" si="4"/>
        <v>4378.576271186439</v>
      </c>
      <c r="M83" s="24">
        <f t="shared" si="5"/>
        <v>2529.5400000000004</v>
      </c>
      <c r="N83" s="24">
        <f t="shared" si="6"/>
        <v>583.74000000000012</v>
      </c>
    </row>
    <row r="84" spans="1:14" x14ac:dyDescent="0.25">
      <c r="A84" s="8">
        <v>2026</v>
      </c>
      <c r="B84" s="23">
        <f t="shared" si="7"/>
        <v>1.7222399999999998</v>
      </c>
      <c r="C84" s="23">
        <f t="shared" si="8"/>
        <v>7.7349000000000001E-2</v>
      </c>
      <c r="D84" s="23">
        <f t="shared" si="8"/>
        <v>0.143819</v>
      </c>
      <c r="E84" s="23">
        <f t="shared" si="0"/>
        <v>0</v>
      </c>
      <c r="F84" s="23">
        <f t="shared" si="1"/>
        <v>0</v>
      </c>
      <c r="H84" s="24">
        <f t="shared" si="2"/>
        <v>11676.203389830504</v>
      </c>
      <c r="I84" s="24">
        <f t="shared" si="9"/>
        <v>1556.6400000000003</v>
      </c>
      <c r="K84" s="24">
        <f t="shared" si="3"/>
        <v>18973.83050847457</v>
      </c>
      <c r="L84" s="24">
        <f t="shared" si="4"/>
        <v>4378.576271186439</v>
      </c>
      <c r="M84" s="24">
        <f t="shared" si="5"/>
        <v>2529.5400000000004</v>
      </c>
      <c r="N84" s="24">
        <f t="shared" si="6"/>
        <v>583.74000000000012</v>
      </c>
    </row>
    <row r="85" spans="1:14" x14ac:dyDescent="0.25">
      <c r="A85" s="8">
        <v>2027</v>
      </c>
      <c r="B85" s="23">
        <f t="shared" si="7"/>
        <v>1.7222399999999998</v>
      </c>
      <c r="C85" s="23">
        <f t="shared" si="8"/>
        <v>7.7349000000000001E-2</v>
      </c>
      <c r="D85" s="23">
        <f t="shared" si="8"/>
        <v>0.143819</v>
      </c>
      <c r="E85" s="23">
        <f t="shared" si="0"/>
        <v>0</v>
      </c>
      <c r="F85" s="23">
        <f t="shared" si="1"/>
        <v>0</v>
      </c>
      <c r="H85" s="24">
        <f t="shared" si="2"/>
        <v>11676.203389830504</v>
      </c>
      <c r="I85" s="24">
        <f t="shared" si="9"/>
        <v>1556.6400000000003</v>
      </c>
      <c r="K85" s="24">
        <f t="shared" si="3"/>
        <v>18973.83050847457</v>
      </c>
      <c r="L85" s="24">
        <f t="shared" si="4"/>
        <v>4378.576271186439</v>
      </c>
      <c r="M85" s="24">
        <f t="shared" si="5"/>
        <v>2529.5400000000004</v>
      </c>
      <c r="N85" s="24">
        <f t="shared" si="6"/>
        <v>583.74000000000012</v>
      </c>
    </row>
    <row r="86" spans="1:14" x14ac:dyDescent="0.25">
      <c r="A86" s="8">
        <v>2028</v>
      </c>
      <c r="B86" s="23">
        <f t="shared" si="7"/>
        <v>1.7222399999999998</v>
      </c>
      <c r="C86" s="23">
        <f t="shared" si="8"/>
        <v>7.7349000000000001E-2</v>
      </c>
      <c r="D86" s="23">
        <f t="shared" si="8"/>
        <v>0.143819</v>
      </c>
      <c r="E86" s="23">
        <f t="shared" si="0"/>
        <v>0</v>
      </c>
      <c r="F86" s="23">
        <f t="shared" si="1"/>
        <v>0</v>
      </c>
      <c r="H86" s="24">
        <f t="shared" si="2"/>
        <v>11676.203389830504</v>
      </c>
      <c r="I86" s="24">
        <f t="shared" si="9"/>
        <v>1556.6400000000003</v>
      </c>
      <c r="K86" s="24">
        <f t="shared" si="3"/>
        <v>18973.83050847457</v>
      </c>
      <c r="L86" s="24">
        <f t="shared" si="4"/>
        <v>4378.576271186439</v>
      </c>
      <c r="M86" s="24">
        <f t="shared" si="5"/>
        <v>2529.5400000000004</v>
      </c>
      <c r="N86" s="24">
        <f t="shared" si="6"/>
        <v>583.74000000000012</v>
      </c>
    </row>
    <row r="87" spans="1:14" x14ac:dyDescent="0.25">
      <c r="A87" s="8">
        <v>2029</v>
      </c>
      <c r="B87" s="23">
        <f t="shared" si="7"/>
        <v>1.7222399999999998</v>
      </c>
      <c r="C87" s="23">
        <f t="shared" si="8"/>
        <v>7.7349000000000001E-2</v>
      </c>
      <c r="D87" s="23">
        <f t="shared" si="8"/>
        <v>0.143819</v>
      </c>
      <c r="E87" s="23">
        <f t="shared" si="0"/>
        <v>0</v>
      </c>
      <c r="F87" s="23">
        <f t="shared" si="1"/>
        <v>0</v>
      </c>
      <c r="H87" s="24">
        <f t="shared" si="2"/>
        <v>11676.203389830504</v>
      </c>
      <c r="I87" s="24">
        <f t="shared" si="9"/>
        <v>1556.6400000000003</v>
      </c>
      <c r="K87" s="24">
        <f t="shared" si="3"/>
        <v>18973.83050847457</v>
      </c>
      <c r="L87" s="24">
        <f t="shared" si="4"/>
        <v>4378.576271186439</v>
      </c>
      <c r="M87" s="24">
        <f t="shared" si="5"/>
        <v>2529.5400000000004</v>
      </c>
      <c r="N87" s="24">
        <f t="shared" si="6"/>
        <v>583.74000000000012</v>
      </c>
    </row>
    <row r="88" spans="1:14" x14ac:dyDescent="0.25">
      <c r="A88" s="8">
        <v>2030</v>
      </c>
      <c r="B88" s="23">
        <f t="shared" si="7"/>
        <v>1.7222399999999998</v>
      </c>
      <c r="C88" s="23">
        <f t="shared" si="8"/>
        <v>7.7349000000000001E-2</v>
      </c>
      <c r="D88" s="23">
        <f t="shared" si="8"/>
        <v>0.143819</v>
      </c>
      <c r="E88" s="23">
        <f t="shared" si="0"/>
        <v>0</v>
      </c>
      <c r="F88" s="23">
        <f t="shared" si="1"/>
        <v>0</v>
      </c>
      <c r="H88" s="24">
        <f t="shared" si="2"/>
        <v>11676.203389830504</v>
      </c>
      <c r="I88" s="24">
        <f t="shared" si="9"/>
        <v>1556.6400000000003</v>
      </c>
      <c r="K88" s="24">
        <f t="shared" si="3"/>
        <v>18973.83050847457</v>
      </c>
      <c r="L88" s="24">
        <f t="shared" si="4"/>
        <v>4378.576271186439</v>
      </c>
      <c r="M88" s="24">
        <f t="shared" si="5"/>
        <v>2529.5400000000004</v>
      </c>
      <c r="N88" s="24">
        <f t="shared" si="6"/>
        <v>583.74000000000012</v>
      </c>
    </row>
    <row r="89" spans="1:14" x14ac:dyDescent="0.25">
      <c r="A89" s="8">
        <v>2031</v>
      </c>
      <c r="B89" s="23">
        <f t="shared" si="7"/>
        <v>1.7222399999999998</v>
      </c>
      <c r="C89" s="23">
        <f t="shared" si="8"/>
        <v>7.7349000000000001E-2</v>
      </c>
      <c r="D89" s="23">
        <f t="shared" si="8"/>
        <v>0.143819</v>
      </c>
      <c r="E89" s="23">
        <f t="shared" si="0"/>
        <v>0</v>
      </c>
      <c r="F89" s="23">
        <f t="shared" si="1"/>
        <v>0</v>
      </c>
      <c r="H89" s="24">
        <f t="shared" si="2"/>
        <v>11676.203389830504</v>
      </c>
      <c r="I89" s="24">
        <f t="shared" si="9"/>
        <v>1556.6400000000003</v>
      </c>
      <c r="K89" s="24">
        <f t="shared" si="3"/>
        <v>18973.83050847457</v>
      </c>
      <c r="L89" s="24">
        <f t="shared" si="4"/>
        <v>4378.576271186439</v>
      </c>
      <c r="M89" s="24">
        <f t="shared" si="5"/>
        <v>2529.5400000000004</v>
      </c>
      <c r="N89" s="24">
        <f t="shared" si="6"/>
        <v>583.74000000000012</v>
      </c>
    </row>
    <row r="90" spans="1:14" x14ac:dyDescent="0.25">
      <c r="A90" s="8">
        <v>2032</v>
      </c>
      <c r="B90" s="23">
        <f t="shared" si="7"/>
        <v>1.7222399999999998</v>
      </c>
      <c r="C90" s="23">
        <f t="shared" si="8"/>
        <v>7.7349000000000001E-2</v>
      </c>
      <c r="D90" s="23">
        <f t="shared" si="8"/>
        <v>0.143819</v>
      </c>
      <c r="E90" s="23">
        <f t="shared" si="0"/>
        <v>0</v>
      </c>
      <c r="F90" s="23">
        <f t="shared" si="1"/>
        <v>0</v>
      </c>
      <c r="H90" s="24">
        <f t="shared" si="2"/>
        <v>11676.203389830504</v>
      </c>
      <c r="I90" s="24">
        <f t="shared" si="9"/>
        <v>1556.6400000000003</v>
      </c>
      <c r="K90" s="24">
        <f t="shared" si="3"/>
        <v>18973.83050847457</v>
      </c>
      <c r="L90" s="24">
        <f t="shared" si="4"/>
        <v>4378.576271186439</v>
      </c>
      <c r="M90" s="24">
        <f t="shared" si="5"/>
        <v>2529.5400000000004</v>
      </c>
      <c r="N90" s="24">
        <f t="shared" si="6"/>
        <v>583.74000000000012</v>
      </c>
    </row>
    <row r="91" spans="1:14" x14ac:dyDescent="0.25">
      <c r="A91" s="8">
        <v>2033</v>
      </c>
      <c r="B91" s="23">
        <f t="shared" si="7"/>
        <v>1.7222399999999998</v>
      </c>
      <c r="C91" s="23">
        <f t="shared" si="8"/>
        <v>7.7349000000000001E-2</v>
      </c>
      <c r="D91" s="23">
        <f t="shared" si="8"/>
        <v>0.143819</v>
      </c>
      <c r="E91" s="23">
        <f t="shared" si="0"/>
        <v>0</v>
      </c>
      <c r="F91" s="23">
        <f t="shared" si="1"/>
        <v>0</v>
      </c>
      <c r="H91" s="24">
        <f t="shared" si="2"/>
        <v>11676.203389830504</v>
      </c>
      <c r="I91" s="24">
        <f t="shared" si="9"/>
        <v>1556.6400000000003</v>
      </c>
      <c r="K91" s="24">
        <f t="shared" si="3"/>
        <v>18973.83050847457</v>
      </c>
      <c r="L91" s="24">
        <f t="shared" si="4"/>
        <v>4378.576271186439</v>
      </c>
      <c r="M91" s="24">
        <f t="shared" si="5"/>
        <v>2529.5400000000004</v>
      </c>
      <c r="N91" s="24">
        <f t="shared" si="6"/>
        <v>583.74000000000012</v>
      </c>
    </row>
    <row r="92" spans="1:14" x14ac:dyDescent="0.25">
      <c r="A92" s="8">
        <v>2034</v>
      </c>
      <c r="B92" s="23">
        <f t="shared" si="7"/>
        <v>1.7222399999999998</v>
      </c>
      <c r="C92" s="23">
        <f t="shared" si="8"/>
        <v>7.7349000000000001E-2</v>
      </c>
      <c r="D92" s="23">
        <f t="shared" si="8"/>
        <v>0.143819</v>
      </c>
      <c r="E92" s="23">
        <f t="shared" si="0"/>
        <v>0</v>
      </c>
      <c r="F92" s="23">
        <f t="shared" si="1"/>
        <v>0</v>
      </c>
      <c r="H92" s="24">
        <f t="shared" si="2"/>
        <v>11676.203389830504</v>
      </c>
      <c r="I92" s="24">
        <f t="shared" si="9"/>
        <v>1556.6400000000003</v>
      </c>
      <c r="K92" s="24">
        <f t="shared" si="3"/>
        <v>18973.83050847457</v>
      </c>
      <c r="L92" s="24">
        <f t="shared" si="4"/>
        <v>4378.576271186439</v>
      </c>
      <c r="M92" s="24">
        <f t="shared" si="5"/>
        <v>2529.5400000000004</v>
      </c>
      <c r="N92" s="24">
        <f t="shared" si="6"/>
        <v>583.74000000000012</v>
      </c>
    </row>
    <row r="93" spans="1:14" x14ac:dyDescent="0.25">
      <c r="A93" s="8">
        <v>2035</v>
      </c>
      <c r="B93" s="23">
        <f t="shared" si="7"/>
        <v>1.7222399999999998</v>
      </c>
      <c r="C93" s="23">
        <f t="shared" si="8"/>
        <v>7.7349000000000001E-2</v>
      </c>
      <c r="D93" s="23">
        <f t="shared" si="8"/>
        <v>0.143819</v>
      </c>
      <c r="E93" s="23">
        <f t="shared" si="0"/>
        <v>0</v>
      </c>
      <c r="F93" s="23">
        <f t="shared" si="1"/>
        <v>0</v>
      </c>
      <c r="H93" s="24">
        <f t="shared" si="2"/>
        <v>11676.203389830504</v>
      </c>
      <c r="I93" s="24">
        <f t="shared" si="9"/>
        <v>1556.6400000000003</v>
      </c>
      <c r="K93" s="24">
        <f t="shared" si="3"/>
        <v>18973.83050847457</v>
      </c>
      <c r="L93" s="24">
        <f t="shared" si="4"/>
        <v>4378.576271186439</v>
      </c>
      <c r="M93" s="24">
        <f t="shared" si="5"/>
        <v>2529.5400000000004</v>
      </c>
      <c r="N93" s="24">
        <f t="shared" si="6"/>
        <v>583.74000000000012</v>
      </c>
    </row>
    <row r="94" spans="1:14" x14ac:dyDescent="0.25">
      <c r="A94" s="8">
        <v>2036</v>
      </c>
      <c r="B94" s="23">
        <f t="shared" si="7"/>
        <v>1.7222399999999998</v>
      </c>
      <c r="C94" s="23">
        <f t="shared" si="8"/>
        <v>7.7349000000000001E-2</v>
      </c>
      <c r="D94" s="23">
        <f t="shared" si="8"/>
        <v>0.143819</v>
      </c>
      <c r="E94" s="23">
        <f t="shared" si="0"/>
        <v>0</v>
      </c>
      <c r="F94" s="23">
        <f t="shared" si="1"/>
        <v>0</v>
      </c>
      <c r="H94" s="24">
        <f t="shared" si="2"/>
        <v>11676.203389830504</v>
      </c>
      <c r="I94" s="24">
        <f t="shared" si="9"/>
        <v>1556.6400000000003</v>
      </c>
      <c r="K94" s="24">
        <f t="shared" si="3"/>
        <v>18973.83050847457</v>
      </c>
      <c r="L94" s="24">
        <f t="shared" si="4"/>
        <v>4378.576271186439</v>
      </c>
      <c r="M94" s="24">
        <f t="shared" si="5"/>
        <v>2529.5400000000004</v>
      </c>
      <c r="N94" s="24">
        <f t="shared" si="6"/>
        <v>583.74000000000012</v>
      </c>
    </row>
    <row r="95" spans="1:14" x14ac:dyDescent="0.25">
      <c r="A95" s="8">
        <v>2037</v>
      </c>
      <c r="B95" s="23">
        <f t="shared" si="7"/>
        <v>1.7222399999999998</v>
      </c>
      <c r="C95" s="23">
        <f t="shared" si="8"/>
        <v>7.7349000000000001E-2</v>
      </c>
      <c r="D95" s="23">
        <f t="shared" si="8"/>
        <v>0.143819</v>
      </c>
      <c r="E95" s="23">
        <f t="shared" si="0"/>
        <v>0</v>
      </c>
      <c r="F95" s="23">
        <f t="shared" si="1"/>
        <v>0</v>
      </c>
      <c r="H95" s="24">
        <f t="shared" si="2"/>
        <v>11676.203389830504</v>
      </c>
      <c r="I95" s="24">
        <f t="shared" si="9"/>
        <v>1556.6400000000003</v>
      </c>
      <c r="K95" s="24">
        <f t="shared" si="3"/>
        <v>18973.83050847457</v>
      </c>
      <c r="L95" s="24">
        <f t="shared" si="4"/>
        <v>4378.576271186439</v>
      </c>
      <c r="M95" s="24">
        <f t="shared" si="5"/>
        <v>2529.5400000000004</v>
      </c>
      <c r="N95" s="24">
        <f t="shared" si="6"/>
        <v>583.74000000000012</v>
      </c>
    </row>
    <row r="96" spans="1:14" x14ac:dyDescent="0.25">
      <c r="A96" s="8">
        <v>2038</v>
      </c>
      <c r="B96" s="23">
        <f t="shared" si="7"/>
        <v>1.7222399999999998</v>
      </c>
      <c r="C96" s="23">
        <f t="shared" si="8"/>
        <v>7.7349000000000001E-2</v>
      </c>
      <c r="D96" s="23">
        <f t="shared" si="8"/>
        <v>0.143819</v>
      </c>
      <c r="E96" s="23">
        <f t="shared" si="0"/>
        <v>0</v>
      </c>
      <c r="F96" s="23">
        <f t="shared" si="1"/>
        <v>0</v>
      </c>
      <c r="H96" s="24">
        <f t="shared" si="2"/>
        <v>11676.203389830504</v>
      </c>
      <c r="I96" s="24">
        <f t="shared" si="9"/>
        <v>1556.6400000000003</v>
      </c>
      <c r="K96" s="24">
        <f t="shared" si="3"/>
        <v>18973.83050847457</v>
      </c>
      <c r="L96" s="24">
        <f t="shared" si="4"/>
        <v>4378.576271186439</v>
      </c>
      <c r="M96" s="24">
        <f t="shared" si="5"/>
        <v>2529.5400000000004</v>
      </c>
      <c r="N96" s="24">
        <f t="shared" si="6"/>
        <v>583.74000000000012</v>
      </c>
    </row>
    <row r="97" spans="1:14" x14ac:dyDescent="0.25">
      <c r="A97" s="8">
        <v>2039</v>
      </c>
      <c r="B97" s="23">
        <f t="shared" si="7"/>
        <v>1.7222399999999998</v>
      </c>
      <c r="C97" s="23">
        <f t="shared" si="8"/>
        <v>7.7349000000000001E-2</v>
      </c>
      <c r="D97" s="23">
        <f t="shared" si="8"/>
        <v>0.143819</v>
      </c>
      <c r="E97" s="23">
        <f t="shared" si="0"/>
        <v>0</v>
      </c>
      <c r="F97" s="23">
        <f t="shared" si="1"/>
        <v>0</v>
      </c>
      <c r="H97" s="24">
        <f t="shared" si="2"/>
        <v>11676.203389830504</v>
      </c>
      <c r="I97" s="24">
        <f t="shared" si="9"/>
        <v>1556.6400000000003</v>
      </c>
      <c r="K97" s="24">
        <f t="shared" si="3"/>
        <v>18973.83050847457</v>
      </c>
      <c r="L97" s="24">
        <f t="shared" si="4"/>
        <v>4378.576271186439</v>
      </c>
      <c r="M97" s="24">
        <f t="shared" si="5"/>
        <v>2529.5400000000004</v>
      </c>
      <c r="N97" s="24">
        <f t="shared" si="6"/>
        <v>583.74000000000012</v>
      </c>
    </row>
    <row r="98" spans="1:14" x14ac:dyDescent="0.25">
      <c r="A98" s="8">
        <v>2040</v>
      </c>
      <c r="B98" s="23">
        <f t="shared" si="7"/>
        <v>1.7222399999999998</v>
      </c>
      <c r="C98" s="23">
        <f t="shared" si="8"/>
        <v>7.7349000000000001E-2</v>
      </c>
      <c r="D98" s="23">
        <f t="shared" si="8"/>
        <v>0.143819</v>
      </c>
      <c r="E98" s="23">
        <f t="shared" si="0"/>
        <v>0</v>
      </c>
      <c r="F98" s="23">
        <f t="shared" si="1"/>
        <v>0</v>
      </c>
      <c r="H98" s="24">
        <f t="shared" si="2"/>
        <v>11676.203389830504</v>
      </c>
      <c r="I98" s="24">
        <f t="shared" si="9"/>
        <v>1556.6400000000003</v>
      </c>
      <c r="K98" s="24">
        <f t="shared" si="3"/>
        <v>18973.83050847457</v>
      </c>
      <c r="L98" s="24">
        <f t="shared" si="4"/>
        <v>4378.576271186439</v>
      </c>
      <c r="M98" s="24">
        <f t="shared" si="5"/>
        <v>2529.5400000000004</v>
      </c>
      <c r="N98" s="24">
        <f t="shared" si="6"/>
        <v>583.74000000000012</v>
      </c>
    </row>
    <row r="99" spans="1:14" x14ac:dyDescent="0.25">
      <c r="A99" s="8">
        <v>2041</v>
      </c>
      <c r="B99" s="23">
        <f t="shared" si="7"/>
        <v>1.7222399999999998</v>
      </c>
      <c r="C99" s="23">
        <f t="shared" si="8"/>
        <v>7.7349000000000001E-2</v>
      </c>
      <c r="D99" s="23">
        <f t="shared" si="8"/>
        <v>0.143819</v>
      </c>
      <c r="E99" s="23">
        <f t="shared" si="0"/>
        <v>0</v>
      </c>
      <c r="F99" s="23">
        <f t="shared" si="1"/>
        <v>0</v>
      </c>
      <c r="H99" s="24">
        <f t="shared" si="2"/>
        <v>11676.203389830504</v>
      </c>
      <c r="I99" s="24">
        <f t="shared" si="9"/>
        <v>1556.6400000000003</v>
      </c>
      <c r="K99" s="24">
        <f t="shared" si="3"/>
        <v>18973.83050847457</v>
      </c>
      <c r="L99" s="24">
        <f t="shared" si="4"/>
        <v>4378.576271186439</v>
      </c>
      <c r="M99" s="24">
        <f t="shared" si="5"/>
        <v>2529.5400000000004</v>
      </c>
      <c r="N99" s="24">
        <f t="shared" si="6"/>
        <v>583.74000000000012</v>
      </c>
    </row>
    <row r="100" spans="1:14" x14ac:dyDescent="0.25">
      <c r="A100" s="8">
        <v>2042</v>
      </c>
      <c r="B100" s="23">
        <f t="shared" si="7"/>
        <v>1.7222399999999998</v>
      </c>
      <c r="C100" s="23">
        <f t="shared" si="8"/>
        <v>7.7349000000000001E-2</v>
      </c>
      <c r="D100" s="23">
        <f t="shared" si="8"/>
        <v>0.143819</v>
      </c>
      <c r="E100" s="23">
        <f t="shared" si="0"/>
        <v>0</v>
      </c>
      <c r="F100" s="23">
        <f t="shared" si="1"/>
        <v>0</v>
      </c>
      <c r="H100" s="24">
        <f t="shared" si="2"/>
        <v>11676.203389830504</v>
      </c>
      <c r="I100" s="24">
        <f t="shared" si="9"/>
        <v>1556.6400000000003</v>
      </c>
      <c r="K100" s="24">
        <f t="shared" si="3"/>
        <v>18973.83050847457</v>
      </c>
      <c r="L100" s="24">
        <f t="shared" si="4"/>
        <v>4378.576271186439</v>
      </c>
      <c r="M100" s="24">
        <f t="shared" si="5"/>
        <v>2529.5400000000004</v>
      </c>
      <c r="N100" s="24">
        <f t="shared" si="6"/>
        <v>583.74000000000012</v>
      </c>
    </row>
    <row r="101" spans="1:14" x14ac:dyDescent="0.25">
      <c r="A101" s="8">
        <v>2043</v>
      </c>
      <c r="B101" s="23">
        <f t="shared" si="7"/>
        <v>1.7222399999999998</v>
      </c>
      <c r="C101" s="23">
        <f t="shared" si="8"/>
        <v>7.7349000000000001E-2</v>
      </c>
      <c r="D101" s="23">
        <f t="shared" si="8"/>
        <v>0.143819</v>
      </c>
      <c r="E101" s="23">
        <f t="shared" si="0"/>
        <v>0</v>
      </c>
      <c r="F101" s="23">
        <f t="shared" si="1"/>
        <v>0</v>
      </c>
      <c r="H101" s="24">
        <f t="shared" si="2"/>
        <v>11676.203389830504</v>
      </c>
      <c r="I101" s="24">
        <f t="shared" si="9"/>
        <v>1556.6400000000003</v>
      </c>
      <c r="K101" s="24">
        <f t="shared" si="3"/>
        <v>18973.83050847457</v>
      </c>
      <c r="L101" s="24">
        <f t="shared" si="4"/>
        <v>4378.576271186439</v>
      </c>
      <c r="M101" s="24">
        <f t="shared" si="5"/>
        <v>2529.5400000000004</v>
      </c>
      <c r="N101" s="24">
        <f t="shared" si="6"/>
        <v>583.74000000000012</v>
      </c>
    </row>
    <row r="102" spans="1:14" x14ac:dyDescent="0.25">
      <c r="A102" s="8">
        <v>2044</v>
      </c>
      <c r="B102" s="23">
        <f t="shared" si="7"/>
        <v>1.7222399999999998</v>
      </c>
      <c r="C102" s="23">
        <f t="shared" si="8"/>
        <v>7.7349000000000001E-2</v>
      </c>
      <c r="D102" s="23">
        <f t="shared" si="8"/>
        <v>0.143819</v>
      </c>
      <c r="E102" s="23">
        <f t="shared" si="0"/>
        <v>0</v>
      </c>
      <c r="F102" s="23">
        <f t="shared" si="1"/>
        <v>0</v>
      </c>
      <c r="H102" s="24">
        <f t="shared" si="2"/>
        <v>11676.203389830504</v>
      </c>
      <c r="I102" s="24">
        <f t="shared" si="9"/>
        <v>1556.6400000000003</v>
      </c>
      <c r="K102" s="24">
        <f t="shared" si="3"/>
        <v>18973.83050847457</v>
      </c>
      <c r="L102" s="24">
        <f t="shared" si="4"/>
        <v>4378.576271186439</v>
      </c>
      <c r="M102" s="24">
        <f t="shared" si="5"/>
        <v>2529.5400000000004</v>
      </c>
      <c r="N102" s="24">
        <f t="shared" si="6"/>
        <v>583.74000000000012</v>
      </c>
    </row>
    <row r="103" spans="1:14" x14ac:dyDescent="0.25">
      <c r="A103" s="8">
        <v>2045</v>
      </c>
      <c r="B103" s="23">
        <f t="shared" si="7"/>
        <v>1.7222399999999998</v>
      </c>
      <c r="C103" s="23">
        <f t="shared" si="8"/>
        <v>7.7349000000000001E-2</v>
      </c>
      <c r="D103" s="23">
        <f t="shared" si="8"/>
        <v>0.143819</v>
      </c>
      <c r="E103" s="23">
        <f t="shared" si="0"/>
        <v>0</v>
      </c>
      <c r="F103" s="23">
        <f t="shared" si="1"/>
        <v>0</v>
      </c>
      <c r="H103" s="24">
        <f t="shared" si="2"/>
        <v>11676.203389830504</v>
      </c>
      <c r="I103" s="24">
        <f t="shared" si="9"/>
        <v>1556.6400000000003</v>
      </c>
      <c r="K103" s="24">
        <f t="shared" si="3"/>
        <v>18973.83050847457</v>
      </c>
      <c r="L103" s="24">
        <f t="shared" si="4"/>
        <v>4378.576271186439</v>
      </c>
      <c r="M103" s="24">
        <f t="shared" si="5"/>
        <v>2529.5400000000004</v>
      </c>
      <c r="N103" s="24">
        <f t="shared" si="6"/>
        <v>583.74000000000012</v>
      </c>
    </row>
    <row r="104" spans="1:14" x14ac:dyDescent="0.25">
      <c r="A104" s="8">
        <v>2046</v>
      </c>
      <c r="B104" s="23">
        <f t="shared" si="7"/>
        <v>1.7222399999999998</v>
      </c>
      <c r="C104" s="23">
        <f t="shared" si="8"/>
        <v>7.7349000000000001E-2</v>
      </c>
      <c r="D104" s="23">
        <f t="shared" si="8"/>
        <v>0.143819</v>
      </c>
      <c r="E104" s="23">
        <f t="shared" si="0"/>
        <v>0</v>
      </c>
      <c r="F104" s="23">
        <f t="shared" si="1"/>
        <v>0</v>
      </c>
      <c r="H104" s="24">
        <f t="shared" si="2"/>
        <v>11676.203389830504</v>
      </c>
      <c r="I104" s="24">
        <f t="shared" si="9"/>
        <v>1556.6400000000003</v>
      </c>
      <c r="K104" s="24">
        <f t="shared" si="3"/>
        <v>18973.83050847457</v>
      </c>
      <c r="L104" s="24">
        <f t="shared" si="4"/>
        <v>4378.576271186439</v>
      </c>
      <c r="M104" s="24">
        <f t="shared" si="5"/>
        <v>2529.5400000000004</v>
      </c>
      <c r="N104" s="24">
        <f t="shared" si="6"/>
        <v>583.74000000000012</v>
      </c>
    </row>
    <row r="105" spans="1:14" x14ac:dyDescent="0.25">
      <c r="A105" s="8">
        <v>2047</v>
      </c>
      <c r="B105" s="23">
        <f t="shared" si="7"/>
        <v>1.7222399999999998</v>
      </c>
      <c r="C105" s="23">
        <f t="shared" si="8"/>
        <v>7.7349000000000001E-2</v>
      </c>
      <c r="D105" s="23">
        <f t="shared" si="8"/>
        <v>0.143819</v>
      </c>
      <c r="E105" s="23">
        <f t="shared" si="0"/>
        <v>0</v>
      </c>
      <c r="F105" s="23">
        <f t="shared" si="1"/>
        <v>0</v>
      </c>
      <c r="H105" s="24">
        <f t="shared" si="2"/>
        <v>11676.203389830504</v>
      </c>
      <c r="I105" s="24">
        <f t="shared" si="9"/>
        <v>1556.6400000000003</v>
      </c>
      <c r="K105" s="24">
        <f t="shared" si="3"/>
        <v>18973.83050847457</v>
      </c>
      <c r="L105" s="24">
        <f t="shared" si="4"/>
        <v>4378.576271186439</v>
      </c>
      <c r="M105" s="24">
        <f t="shared" si="5"/>
        <v>2529.5400000000004</v>
      </c>
      <c r="N105" s="24">
        <f t="shared" si="6"/>
        <v>583.74000000000012</v>
      </c>
    </row>
    <row r="106" spans="1:14" x14ac:dyDescent="0.25">
      <c r="A106" s="8">
        <v>2048</v>
      </c>
      <c r="B106" s="23">
        <f t="shared" si="7"/>
        <v>1.7222399999999998</v>
      </c>
      <c r="C106" s="23">
        <f t="shared" si="8"/>
        <v>7.7349000000000001E-2</v>
      </c>
      <c r="D106" s="23">
        <f t="shared" si="8"/>
        <v>0.143819</v>
      </c>
      <c r="E106" s="23">
        <f t="shared" si="0"/>
        <v>0</v>
      </c>
      <c r="F106" s="23">
        <f t="shared" si="1"/>
        <v>0</v>
      </c>
      <c r="H106" s="24">
        <f t="shared" si="2"/>
        <v>11676.203389830504</v>
      </c>
      <c r="I106" s="24">
        <f t="shared" si="9"/>
        <v>1556.6400000000003</v>
      </c>
      <c r="K106" s="24">
        <f t="shared" si="3"/>
        <v>18973.83050847457</v>
      </c>
      <c r="L106" s="24">
        <f t="shared" si="4"/>
        <v>4378.576271186439</v>
      </c>
      <c r="M106" s="24">
        <f t="shared" si="5"/>
        <v>2529.5400000000004</v>
      </c>
      <c r="N106" s="24">
        <f t="shared" si="6"/>
        <v>583.74000000000012</v>
      </c>
    </row>
    <row r="107" spans="1:14" x14ac:dyDescent="0.25">
      <c r="A107" s="8">
        <v>2049</v>
      </c>
      <c r="B107" s="23">
        <f t="shared" si="7"/>
        <v>1.7222399999999998</v>
      </c>
      <c r="C107" s="23">
        <f t="shared" si="8"/>
        <v>7.7349000000000001E-2</v>
      </c>
      <c r="D107" s="23">
        <f t="shared" si="8"/>
        <v>0.143819</v>
      </c>
      <c r="E107" s="23">
        <f t="shared" si="0"/>
        <v>0</v>
      </c>
      <c r="F107" s="23">
        <f t="shared" si="1"/>
        <v>0</v>
      </c>
      <c r="H107" s="24">
        <f t="shared" si="2"/>
        <v>11676.203389830504</v>
      </c>
      <c r="I107" s="24">
        <f t="shared" si="9"/>
        <v>1556.6400000000003</v>
      </c>
      <c r="K107" s="24">
        <f t="shared" si="3"/>
        <v>18973.83050847457</v>
      </c>
      <c r="L107" s="24">
        <f t="shared" si="4"/>
        <v>4378.576271186439</v>
      </c>
      <c r="M107" s="24">
        <f t="shared" si="5"/>
        <v>2529.5400000000004</v>
      </c>
      <c r="N107" s="24">
        <f t="shared" si="6"/>
        <v>583.74000000000012</v>
      </c>
    </row>
    <row r="108" spans="1:14" x14ac:dyDescent="0.25">
      <c r="A108" s="8">
        <v>2050</v>
      </c>
      <c r="B108" s="23">
        <f t="shared" si="7"/>
        <v>1.7222399999999998</v>
      </c>
      <c r="C108" s="23">
        <f t="shared" si="8"/>
        <v>7.7349000000000001E-2</v>
      </c>
      <c r="D108" s="23">
        <f t="shared" si="8"/>
        <v>0.143819</v>
      </c>
      <c r="E108" s="23">
        <f t="shared" si="0"/>
        <v>0</v>
      </c>
      <c r="F108" s="23">
        <f t="shared" si="1"/>
        <v>0</v>
      </c>
      <c r="H108" s="24">
        <f t="shared" si="2"/>
        <v>11676.203389830504</v>
      </c>
      <c r="I108" s="24">
        <f t="shared" si="9"/>
        <v>1556.6400000000003</v>
      </c>
      <c r="K108" s="24">
        <f t="shared" si="3"/>
        <v>18973.83050847457</v>
      </c>
      <c r="L108" s="24">
        <f t="shared" si="4"/>
        <v>4378.576271186439</v>
      </c>
      <c r="M108" s="24">
        <f t="shared" si="5"/>
        <v>2529.5400000000004</v>
      </c>
      <c r="N108" s="24">
        <f t="shared" si="6"/>
        <v>583.74000000000012</v>
      </c>
    </row>
    <row r="110" spans="1:14" ht="15" x14ac:dyDescent="0.25">
      <c r="A110" s="7" t="s">
        <v>49</v>
      </c>
      <c r="B110" s="174" t="s">
        <v>28</v>
      </c>
      <c r="C110" s="22" t="s">
        <v>212</v>
      </c>
    </row>
    <row r="111" spans="1:14" ht="15" x14ac:dyDescent="0.25">
      <c r="B111" s="7" t="s">
        <v>113</v>
      </c>
      <c r="C111" s="97" t="s">
        <v>213</v>
      </c>
    </row>
    <row r="113" spans="1:6" x14ac:dyDescent="0.25">
      <c r="A113" s="243" t="s">
        <v>94</v>
      </c>
      <c r="B113" s="243"/>
      <c r="C113" s="243"/>
      <c r="D113" s="243"/>
      <c r="E113" s="243"/>
      <c r="F113" s="243"/>
    </row>
    <row r="114" spans="1:6" x14ac:dyDescent="0.25">
      <c r="A114" s="5" t="s">
        <v>115</v>
      </c>
    </row>
    <row r="115" spans="1:6" x14ac:dyDescent="0.25">
      <c r="A115" s="6" t="s">
        <v>46</v>
      </c>
      <c r="B115" s="6" t="s">
        <v>47</v>
      </c>
      <c r="C115" s="6" t="s">
        <v>48</v>
      </c>
      <c r="D115" s="6" t="s">
        <v>49</v>
      </c>
    </row>
    <row r="116" spans="1:6" x14ac:dyDescent="0.25">
      <c r="A116" s="8" t="s">
        <v>132</v>
      </c>
      <c r="B116" s="8" t="s">
        <v>8</v>
      </c>
      <c r="C116" s="19">
        <v>0.05</v>
      </c>
      <c r="D116" s="2"/>
    </row>
    <row r="117" spans="1:6" x14ac:dyDescent="0.25">
      <c r="A117" s="8" t="s">
        <v>133</v>
      </c>
      <c r="B117" s="8" t="s">
        <v>8</v>
      </c>
      <c r="C117" s="19">
        <v>0.23</v>
      </c>
      <c r="D117" s="2"/>
    </row>
    <row r="118" spans="1:6" x14ac:dyDescent="0.25">
      <c r="A118" s="8" t="s">
        <v>96</v>
      </c>
      <c r="B118" s="8" t="s">
        <v>8</v>
      </c>
      <c r="C118" s="20">
        <v>0</v>
      </c>
      <c r="D118" s="2"/>
    </row>
    <row r="119" spans="1:6" x14ac:dyDescent="0.25">
      <c r="A119" s="8" t="s">
        <v>134</v>
      </c>
      <c r="B119" s="8" t="s">
        <v>8</v>
      </c>
      <c r="C119" s="20">
        <v>0</v>
      </c>
      <c r="D119" s="2"/>
    </row>
    <row r="120" spans="1:6" x14ac:dyDescent="0.25">
      <c r="A120" s="8" t="s">
        <v>97</v>
      </c>
      <c r="B120" s="8" t="s">
        <v>99</v>
      </c>
      <c r="C120" s="16">
        <v>240</v>
      </c>
      <c r="D120" s="2" t="s">
        <v>39</v>
      </c>
    </row>
    <row r="121" spans="1:6" ht="15" x14ac:dyDescent="0.25">
      <c r="A121" s="8" t="s">
        <v>98</v>
      </c>
      <c r="B121" s="8" t="s">
        <v>3</v>
      </c>
      <c r="C121" s="18">
        <v>40000</v>
      </c>
      <c r="D121" s="2" t="s">
        <v>194</v>
      </c>
      <c r="E121" s="97" t="s">
        <v>41</v>
      </c>
    </row>
    <row r="122" spans="1:6" x14ac:dyDescent="0.25">
      <c r="A122" s="5" t="s">
        <v>26</v>
      </c>
    </row>
    <row r="123" spans="1:6" x14ac:dyDescent="0.25">
      <c r="A123" s="6" t="s">
        <v>46</v>
      </c>
      <c r="B123" s="6" t="s">
        <v>47</v>
      </c>
      <c r="C123" s="6" t="s">
        <v>48</v>
      </c>
      <c r="D123" s="6" t="s">
        <v>49</v>
      </c>
    </row>
    <row r="124" spans="1:6" x14ac:dyDescent="0.25">
      <c r="A124" s="8" t="s">
        <v>132</v>
      </c>
      <c r="B124" s="8" t="s">
        <v>8</v>
      </c>
      <c r="C124" s="19">
        <v>0.05</v>
      </c>
      <c r="D124" s="2"/>
    </row>
    <row r="125" spans="1:6" x14ac:dyDescent="0.25">
      <c r="A125" s="8" t="s">
        <v>133</v>
      </c>
      <c r="B125" s="8" t="s">
        <v>8</v>
      </c>
      <c r="C125" s="19">
        <v>0</v>
      </c>
      <c r="D125" s="2"/>
    </row>
    <row r="126" spans="1:6" x14ac:dyDescent="0.25">
      <c r="A126" s="8" t="s">
        <v>96</v>
      </c>
      <c r="B126" s="8" t="s">
        <v>8</v>
      </c>
      <c r="C126" s="20">
        <v>0</v>
      </c>
      <c r="D126" s="2"/>
    </row>
    <row r="127" spans="1:6" x14ac:dyDescent="0.25">
      <c r="A127" s="8" t="s">
        <v>134</v>
      </c>
      <c r="B127" s="8" t="s">
        <v>8</v>
      </c>
      <c r="C127" s="20">
        <v>0</v>
      </c>
      <c r="D127" s="2"/>
    </row>
    <row r="128" spans="1:6" x14ac:dyDescent="0.25">
      <c r="A128" s="8" t="s">
        <v>97</v>
      </c>
      <c r="B128" s="8" t="s">
        <v>99</v>
      </c>
      <c r="C128" s="16">
        <v>0</v>
      </c>
      <c r="D128" s="2" t="s">
        <v>39</v>
      </c>
    </row>
    <row r="129" spans="1:9" ht="15" x14ac:dyDescent="0.25">
      <c r="A129" s="8" t="s">
        <v>101</v>
      </c>
      <c r="B129" s="8" t="s">
        <v>34</v>
      </c>
      <c r="C129" s="16">
        <v>12000</v>
      </c>
      <c r="D129" s="2" t="s">
        <v>138</v>
      </c>
      <c r="E129" s="97" t="s">
        <v>41</v>
      </c>
    </row>
    <row r="130" spans="1:9" ht="15" x14ac:dyDescent="0.25">
      <c r="A130" s="8" t="s">
        <v>98</v>
      </c>
      <c r="B130" s="8" t="s">
        <v>3</v>
      </c>
      <c r="C130" s="16">
        <v>25000</v>
      </c>
      <c r="D130" s="2"/>
      <c r="E130" s="97" t="s">
        <v>41</v>
      </c>
    </row>
    <row r="132" spans="1:9" x14ac:dyDescent="0.25">
      <c r="A132" s="243" t="s">
        <v>100</v>
      </c>
      <c r="B132" s="243"/>
      <c r="C132" s="243"/>
      <c r="D132" s="243"/>
      <c r="E132" s="243"/>
      <c r="F132" s="243"/>
    </row>
    <row r="133" spans="1:9" x14ac:dyDescent="0.25">
      <c r="A133" s="6" t="s">
        <v>46</v>
      </c>
      <c r="B133" s="6" t="s">
        <v>47</v>
      </c>
      <c r="C133" s="6" t="s">
        <v>48</v>
      </c>
      <c r="D133" s="6" t="s">
        <v>49</v>
      </c>
    </row>
    <row r="134" spans="1:9" x14ac:dyDescent="0.25">
      <c r="A134" s="25" t="s">
        <v>22</v>
      </c>
      <c r="B134" s="8" t="s">
        <v>16</v>
      </c>
      <c r="C134" s="95">
        <v>218</v>
      </c>
      <c r="D134" s="26"/>
    </row>
    <row r="135" spans="1:9" x14ac:dyDescent="0.25">
      <c r="A135" s="25" t="s">
        <v>102</v>
      </c>
      <c r="B135" s="8" t="s">
        <v>15</v>
      </c>
      <c r="C135" s="27">
        <v>2.7600000000000003E-2</v>
      </c>
      <c r="D135" s="26"/>
      <c r="F135" s="248" t="s">
        <v>130</v>
      </c>
      <c r="G135" s="248"/>
      <c r="H135" s="248"/>
      <c r="I135" s="248"/>
    </row>
    <row r="136" spans="1:9" x14ac:dyDescent="0.25">
      <c r="A136" s="25" t="s">
        <v>103</v>
      </c>
      <c r="B136" s="8" t="s">
        <v>17</v>
      </c>
      <c r="C136" s="27">
        <v>40</v>
      </c>
      <c r="D136" s="26"/>
      <c r="F136" s="64" t="s">
        <v>144</v>
      </c>
      <c r="G136" s="64" t="s">
        <v>143</v>
      </c>
      <c r="H136" s="64" t="s">
        <v>144</v>
      </c>
      <c r="I136" s="64" t="s">
        <v>143</v>
      </c>
    </row>
    <row r="137" spans="1:9" x14ac:dyDescent="0.25">
      <c r="F137" s="6" t="s">
        <v>23</v>
      </c>
      <c r="G137" s="6" t="s">
        <v>23</v>
      </c>
      <c r="H137" s="6" t="s">
        <v>25</v>
      </c>
      <c r="I137" s="6" t="s">
        <v>25</v>
      </c>
    </row>
    <row r="138" spans="1:9" x14ac:dyDescent="0.25">
      <c r="A138" s="25" t="s">
        <v>104</v>
      </c>
      <c r="B138" s="8" t="s">
        <v>21</v>
      </c>
      <c r="C138" s="45">
        <f>$C$134*$C$42/(10^6)</f>
        <v>139.52000000000001</v>
      </c>
      <c r="D138" s="26"/>
      <c r="F138" s="8" t="s">
        <v>3</v>
      </c>
      <c r="G138" s="8" t="s">
        <v>3</v>
      </c>
      <c r="H138" s="8" t="s">
        <v>3</v>
      </c>
      <c r="I138" s="8" t="s">
        <v>3</v>
      </c>
    </row>
    <row r="139" spans="1:9" x14ac:dyDescent="0.25">
      <c r="A139" s="25" t="s">
        <v>105</v>
      </c>
      <c r="B139" s="8" t="s">
        <v>21</v>
      </c>
      <c r="C139" s="45">
        <f>$C$135*$C$43*$C$19/1000</f>
        <v>3.5328000000000013</v>
      </c>
      <c r="D139" s="26"/>
      <c r="F139" s="24">
        <f>C134*H42/(10^6)*$C$136</f>
        <v>9068.7999999999993</v>
      </c>
      <c r="G139" s="24">
        <f>C134*I42/(10^6)*$C$136</f>
        <v>2092.8000000000002</v>
      </c>
      <c r="H139" s="24">
        <f>C135*H43*C19/1000*$C$136</f>
        <v>229.63200000000003</v>
      </c>
      <c r="I139" s="24">
        <f>C135*I43*C19/1000*$C$136</f>
        <v>52.992000000000004</v>
      </c>
    </row>
    <row r="140" spans="1:9" x14ac:dyDescent="0.25">
      <c r="A140" s="25" t="s">
        <v>106</v>
      </c>
      <c r="B140" s="8" t="s">
        <v>3</v>
      </c>
      <c r="C140" s="46">
        <f>C138*$C$136</f>
        <v>5580.8</v>
      </c>
      <c r="D140" s="26"/>
    </row>
    <row r="141" spans="1:9" x14ac:dyDescent="0.25">
      <c r="A141" s="25" t="s">
        <v>107</v>
      </c>
      <c r="B141" s="8" t="s">
        <v>3</v>
      </c>
      <c r="C141" s="46">
        <f>C139*$C$136</f>
        <v>141.31200000000004</v>
      </c>
      <c r="D141" s="26"/>
    </row>
  </sheetData>
  <mergeCells count="15">
    <mergeCell ref="K76:N76"/>
    <mergeCell ref="B63:C63"/>
    <mergeCell ref="D63:E63"/>
    <mergeCell ref="F135:I135"/>
    <mergeCell ref="A132:F132"/>
    <mergeCell ref="A1:F1"/>
    <mergeCell ref="A2:F2"/>
    <mergeCell ref="A49:F49"/>
    <mergeCell ref="A113:F113"/>
    <mergeCell ref="A38:D38"/>
    <mergeCell ref="E38:I38"/>
    <mergeCell ref="D29:D30"/>
    <mergeCell ref="H10:I10"/>
    <mergeCell ref="H11:I11"/>
    <mergeCell ref="A60:G60"/>
  </mergeCells>
  <dataValidations count="2">
    <dataValidation showInputMessage="1" showErrorMessage="1" sqref="C5:C7 C15:C19 C41:C47 I5:I7 C52:C56 C116:C121 H41:I46 C124:C130 H4:I4 C26:C27 C29:C30 C35:C36" xr:uid="{028A789C-13FC-4BA8-BD35-406333530ABA}"/>
    <dataValidation showInputMessage="1" showErrorMessage="1" errorTitle="Error" error="Debe elegir un modelo" promptTitle="Seleccionar" sqref="D116:D121 D29 D124:D130 D52:D53 D22:D23 J5 D5:D10 D15:D19 D41:D47 D26:D27 D35:D36" xr:uid="{192A9A90-5B5C-45E1-8D25-5967310D923C}"/>
  </dataValidations>
  <hyperlinks>
    <hyperlink ref="D56" r:id="rId1" xr:uid="{4C6CDBA4-B655-4E8C-B7B6-23DEE7E9BA6A}"/>
    <hyperlink ref="N5" r:id="rId2" xr:uid="{DFACC7CE-2D0E-4901-8E65-20C6F8297735}"/>
    <hyperlink ref="N6" r:id="rId3" xr:uid="{3ABDFA1F-9EE1-4D7E-8B5D-D8993EAB1F40}"/>
    <hyperlink ref="N7" r:id="rId4" location=":~:text=Subsidio%20para%20el%20recambio%20de,Administraci%C3%B3n%20del%20Transporte%20(Ejido%201290)" xr:uid="{CE0A8FDA-7F46-4E39-A14A-E0D36096AC0E}"/>
    <hyperlink ref="N8" r:id="rId5" xr:uid="{8F9470BF-4C33-4770-8A3A-5B93CF0235AC}"/>
    <hyperlink ref="E130" r:id="rId6" xr:uid="{2523A979-4538-4901-9341-B2FF80EA1CDF}"/>
    <hyperlink ref="E121" r:id="rId7" xr:uid="{B75B7C08-55F6-40DA-B217-73600A63DA3C}"/>
    <hyperlink ref="E129" r:id="rId8" xr:uid="{B647520F-9CFB-4B08-92CA-F98AF77039B3}"/>
    <hyperlink ref="E35" r:id="rId9" xr:uid="{B3838852-7CBF-44C3-B510-F3A3E9554EA7}"/>
    <hyperlink ref="E36" r:id="rId10" xr:uid="{D313A613-B80C-4E3B-B7F4-546749D52BE2}"/>
    <hyperlink ref="C111" r:id="rId11" xr:uid="{5621E0ED-0963-44F1-BA03-117B4941F5D6}"/>
    <hyperlink ref="C110" r:id="rId12" display="Ancap 2021 " xr:uid="{5EE10440-632C-4E4F-B1A1-63C750A59D30}"/>
  </hyperlinks>
  <pageMargins left="0.7" right="0.7" top="0.75" bottom="0.75" header="0.3" footer="0.3"/>
  <pageSetup orientation="portrait" r:id="rId13"/>
  <ignoredErrors>
    <ignoredError sqref="I5" formula="1"/>
  </ignoredErrors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68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21" style="3" customWidth="1"/>
    <col min="2" max="2" width="32.42578125" style="3" customWidth="1"/>
    <col min="3" max="6" width="16.28515625" style="3" customWidth="1"/>
    <col min="7" max="7" width="13.85546875" style="3" customWidth="1"/>
    <col min="8" max="8" width="14.5703125" style="3" customWidth="1"/>
    <col min="9" max="9" width="14.42578125" style="3" customWidth="1"/>
    <col min="10" max="10" width="13.85546875" style="3" customWidth="1"/>
    <col min="11" max="11" width="14.28515625" style="3" customWidth="1"/>
    <col min="12" max="15" width="15.140625" style="3" customWidth="1"/>
    <col min="16" max="16384" width="10.85546875" style="3"/>
  </cols>
  <sheetData>
    <row r="1" spans="1:8" ht="12.6" customHeight="1" x14ac:dyDescent="0.25">
      <c r="A1" s="256" t="s">
        <v>116</v>
      </c>
      <c r="B1" s="256"/>
      <c r="C1" s="256"/>
      <c r="D1" s="256"/>
      <c r="E1" s="256"/>
      <c r="F1" s="256"/>
      <c r="G1" s="60"/>
      <c r="H1" s="60"/>
    </row>
    <row r="2" spans="1:8" ht="27" customHeight="1" x14ac:dyDescent="0.25">
      <c r="C2" s="111" t="s">
        <v>91</v>
      </c>
      <c r="D2" s="111" t="s">
        <v>117</v>
      </c>
      <c r="E2" s="112" t="s">
        <v>137</v>
      </c>
      <c r="F2" s="112" t="s">
        <v>117</v>
      </c>
      <c r="G2" s="58"/>
      <c r="H2" s="58"/>
    </row>
    <row r="3" spans="1:8" ht="12.6" customHeight="1" x14ac:dyDescent="0.25">
      <c r="B3" s="68"/>
      <c r="C3" s="77"/>
      <c r="E3" s="77"/>
      <c r="F3" s="31"/>
      <c r="G3" s="31"/>
      <c r="H3" s="106"/>
    </row>
    <row r="4" spans="1:8" x14ac:dyDescent="0.25">
      <c r="A4" s="251" t="s">
        <v>18</v>
      </c>
      <c r="B4" s="29" t="s">
        <v>189</v>
      </c>
      <c r="C4" s="36">
        <f>Parametros!C5</f>
        <v>9500</v>
      </c>
      <c r="D4" s="50">
        <f t="shared" ref="D4:D14" ca="1" si="0">C4/(SUM($C$4:$C$14))</f>
        <v>3.7060530860575647E-2</v>
      </c>
      <c r="E4" s="37">
        <f>Parametros!C15-Parametros!C129</f>
        <v>20000</v>
      </c>
      <c r="F4" s="117">
        <f t="shared" ref="F4:F14" ca="1" si="1">E4/(SUM($E$4:$E$14))</f>
        <v>0.13917478489457577</v>
      </c>
      <c r="G4" s="59"/>
      <c r="H4" s="107"/>
    </row>
    <row r="5" spans="1:8" x14ac:dyDescent="0.25">
      <c r="A5" s="253"/>
      <c r="B5" s="113" t="s">
        <v>110</v>
      </c>
      <c r="C5" s="32">
        <v>0</v>
      </c>
      <c r="D5" s="48">
        <f t="shared" ca="1" si="0"/>
        <v>0</v>
      </c>
      <c r="E5" s="33">
        <f>Parametros!C26</f>
        <v>2000</v>
      </c>
      <c r="F5" s="118">
        <f t="shared" ca="1" si="1"/>
        <v>1.3917478489457576E-2</v>
      </c>
      <c r="G5" s="59"/>
      <c r="H5" s="107"/>
    </row>
    <row r="6" spans="1:8" x14ac:dyDescent="0.25">
      <c r="A6" s="251" t="s">
        <v>19</v>
      </c>
      <c r="B6" s="29" t="s">
        <v>95</v>
      </c>
      <c r="C6" s="36">
        <f>Parametros!$C$116*C4</f>
        <v>475</v>
      </c>
      <c r="D6" s="50">
        <f t="shared" ca="1" si="0"/>
        <v>1.8530265430287823E-3</v>
      </c>
      <c r="E6" s="37">
        <f>Parametros!$C$124*E4</f>
        <v>1000</v>
      </c>
      <c r="F6" s="117">
        <f t="shared" ca="1" si="1"/>
        <v>6.9587392447287878E-3</v>
      </c>
      <c r="G6" s="59"/>
      <c r="H6" s="107"/>
    </row>
    <row r="7" spans="1:8" x14ac:dyDescent="0.25">
      <c r="A7" s="252"/>
      <c r="B7" s="116" t="s">
        <v>133</v>
      </c>
      <c r="C7" s="32">
        <f>Parametros!$C$117*C4</f>
        <v>2185</v>
      </c>
      <c r="D7" s="48">
        <f t="shared" ca="1" si="0"/>
        <v>8.5239220979323981E-3</v>
      </c>
      <c r="E7" s="33">
        <f>Parametros!$C$125*E4</f>
        <v>0</v>
      </c>
      <c r="F7" s="118">
        <f t="shared" ca="1" si="1"/>
        <v>0</v>
      </c>
      <c r="G7" s="59"/>
      <c r="H7" s="107"/>
    </row>
    <row r="8" spans="1:8" x14ac:dyDescent="0.25">
      <c r="A8" s="252"/>
      <c r="B8" s="116" t="s">
        <v>96</v>
      </c>
      <c r="C8" s="32">
        <f>Parametros!$C$118*C4</f>
        <v>0</v>
      </c>
      <c r="D8" s="48">
        <f t="shared" ca="1" si="0"/>
        <v>0</v>
      </c>
      <c r="E8" s="33">
        <f>Parametros!$C$126*E4</f>
        <v>0</v>
      </c>
      <c r="F8" s="118">
        <f t="shared" ca="1" si="1"/>
        <v>0</v>
      </c>
      <c r="G8" s="59"/>
      <c r="H8" s="107"/>
    </row>
    <row r="9" spans="1:8" x14ac:dyDescent="0.25">
      <c r="A9" s="252"/>
      <c r="B9" s="113" t="s">
        <v>134</v>
      </c>
      <c r="C9" s="32">
        <f>Parametros!$C$119*C4</f>
        <v>0</v>
      </c>
      <c r="D9" s="48">
        <f t="shared" ca="1" si="0"/>
        <v>0</v>
      </c>
      <c r="E9" s="33">
        <f>Parametros!$C$127*E4</f>
        <v>0</v>
      </c>
      <c r="F9" s="118">
        <f t="shared" ca="1" si="1"/>
        <v>0</v>
      </c>
      <c r="G9" s="59"/>
      <c r="H9" s="107"/>
    </row>
    <row r="10" spans="1:8" x14ac:dyDescent="0.25">
      <c r="A10" s="252"/>
      <c r="B10" s="113" t="s">
        <v>98</v>
      </c>
      <c r="C10" s="32">
        <f>Parametros!$C$121</f>
        <v>40000</v>
      </c>
      <c r="D10" s="48">
        <f t="shared" ca="1" si="0"/>
        <v>0.15604434046558166</v>
      </c>
      <c r="E10" s="33">
        <f>Parametros!$C$130</f>
        <v>25000</v>
      </c>
      <c r="F10" s="118">
        <f t="shared" ca="1" si="1"/>
        <v>0.17396848111821969</v>
      </c>
      <c r="G10" s="59"/>
      <c r="H10" s="107"/>
    </row>
    <row r="11" spans="1:8" x14ac:dyDescent="0.25">
      <c r="A11" s="252"/>
      <c r="B11" s="113" t="s">
        <v>135</v>
      </c>
      <c r="C11" s="32">
        <f>Parametros!$C$120*Parametros!$C$6</f>
        <v>1920</v>
      </c>
      <c r="D11" s="48">
        <f t="shared" ca="1" si="0"/>
        <v>7.4901283423479204E-3</v>
      </c>
      <c r="E11" s="33">
        <f>Parametros!$C$128</f>
        <v>0</v>
      </c>
      <c r="F11" s="118">
        <f t="shared" ca="1" si="1"/>
        <v>0</v>
      </c>
      <c r="G11" s="59"/>
      <c r="H11" s="107"/>
    </row>
    <row r="12" spans="1:8" x14ac:dyDescent="0.25">
      <c r="A12" s="252"/>
      <c r="B12" s="30" t="s">
        <v>118</v>
      </c>
      <c r="C12" s="32">
        <f>-CUMIPMT(Parametros!C54,Parametros!C53,(SUM(C4,C6:C9))*Parametros!C52,1,Parametros!C53,0)</f>
        <v>2715.2207826243648</v>
      </c>
      <c r="D12" s="48">
        <f t="shared" ca="1" si="0"/>
        <v>1.0592370906076487E-2</v>
      </c>
      <c r="E12" s="33">
        <f>-CUMIPMT(Parametros!C55,Parametros!C53,(SUM(E4,E6:E9))*Parametros!C52,1,Parametros!C53,0)</f>
        <v>4689.114838413785</v>
      </c>
      <c r="F12" s="118">
        <f t="shared" ca="1" si="1"/>
        <v>3.2630327449110097E-2</v>
      </c>
      <c r="G12" s="59"/>
      <c r="H12" s="107"/>
    </row>
    <row r="13" spans="1:8" x14ac:dyDescent="0.25">
      <c r="A13" s="251" t="s">
        <v>20</v>
      </c>
      <c r="B13" s="113" t="s">
        <v>54</v>
      </c>
      <c r="C13" s="36">
        <f>(Parametros!$C$8+Parametros!$C$9+Parametros!$C$10)*Parametros!$C$42</f>
        <v>106132.54876851151</v>
      </c>
      <c r="D13" s="50">
        <f t="shared" ca="1" si="0"/>
        <v>0.41403458936283899</v>
      </c>
      <c r="E13" s="37">
        <f>Parametros!$C$43*(Parametros!$C$20+Parametros!$C$21+Parametros!$C$22)</f>
        <v>78561.957089383388</v>
      </c>
      <c r="F13" s="117">
        <f t="shared" ca="1" si="1"/>
        <v>0.54669217394059122</v>
      </c>
      <c r="G13" s="59"/>
      <c r="H13" s="107"/>
    </row>
    <row r="14" spans="1:8" x14ac:dyDescent="0.25">
      <c r="A14" s="253"/>
      <c r="B14" s="30" t="s">
        <v>119</v>
      </c>
      <c r="C14" s="34">
        <f ca="1">SUM(Parametros!$H$80:OFFSET(Parametros!$H$80,Parametros!$C$6-1,0))</f>
        <v>93409.627118644043</v>
      </c>
      <c r="D14" s="49">
        <f t="shared" ca="1" si="0"/>
        <v>0.36440109142161803</v>
      </c>
      <c r="E14" s="35">
        <f ca="1">SUM(Parametros!$I$80:OFFSET(Parametros!$I$80,Parametros!$C$17-1,0))</f>
        <v>12453.120000000003</v>
      </c>
      <c r="F14" s="119">
        <f t="shared" ca="1" si="1"/>
        <v>8.6658014863316979E-2</v>
      </c>
      <c r="G14" s="59"/>
      <c r="H14" s="107"/>
    </row>
    <row r="15" spans="1:8" ht="12.6" customHeight="1" x14ac:dyDescent="0.25">
      <c r="A15" s="76"/>
      <c r="B15" s="68" t="s">
        <v>24</v>
      </c>
      <c r="C15" s="69">
        <f ca="1">SUM(C4:C14)</f>
        <v>256337.39666977993</v>
      </c>
      <c r="D15" s="63" t="s">
        <v>3</v>
      </c>
      <c r="E15" s="69">
        <f ca="1">SUM(E4:E14)</f>
        <v>143704.19192779716</v>
      </c>
      <c r="F15" s="63" t="s">
        <v>3</v>
      </c>
      <c r="G15" s="59"/>
      <c r="H15" s="107"/>
    </row>
    <row r="16" spans="1:8" x14ac:dyDescent="0.25">
      <c r="A16" s="76"/>
      <c r="B16" s="68"/>
      <c r="C16" s="69">
        <f ca="1">C15/Parametros!$C$6</f>
        <v>32042.174583722492</v>
      </c>
      <c r="D16" s="63" t="s">
        <v>99</v>
      </c>
      <c r="E16" s="69">
        <f ca="1">E15/Parametros!$C$17</f>
        <v>17963.023990974645</v>
      </c>
      <c r="F16" s="63" t="s">
        <v>99</v>
      </c>
      <c r="G16" s="59"/>
      <c r="H16" s="107"/>
    </row>
    <row r="17" spans="1:8" ht="12.6" customHeight="1" x14ac:dyDescent="0.25">
      <c r="A17" s="70" t="s">
        <v>141</v>
      </c>
      <c r="B17" s="71" t="s">
        <v>101</v>
      </c>
      <c r="C17" s="72"/>
      <c r="D17" s="73"/>
      <c r="E17" s="74">
        <v>12000</v>
      </c>
      <c r="F17" s="75"/>
      <c r="G17" s="59"/>
      <c r="H17" s="107"/>
    </row>
    <row r="18" spans="1:8" x14ac:dyDescent="0.25">
      <c r="A18" s="70" t="s">
        <v>140</v>
      </c>
      <c r="B18" s="71" t="s">
        <v>121</v>
      </c>
      <c r="C18" s="72">
        <f>Parametros!C140</f>
        <v>5580.8</v>
      </c>
      <c r="D18" s="73"/>
      <c r="E18" s="74">
        <f>Parametros!C141</f>
        <v>141.31200000000004</v>
      </c>
      <c r="F18" s="75"/>
      <c r="G18" s="59"/>
    </row>
    <row r="19" spans="1:8" ht="12.6" customHeight="1" x14ac:dyDescent="0.25">
      <c r="B19" s="68" t="s">
        <v>185</v>
      </c>
      <c r="C19" s="69">
        <f ca="1">C15+C18</f>
        <v>261918.19666977992</v>
      </c>
      <c r="D19" s="63"/>
      <c r="E19" s="69">
        <f ca="1">E18+E15</f>
        <v>143845.50392779717</v>
      </c>
      <c r="F19" s="63"/>
      <c r="G19" s="31"/>
      <c r="H19" s="31"/>
    </row>
    <row r="20" spans="1:8" x14ac:dyDescent="0.25">
      <c r="B20" s="68"/>
      <c r="C20" s="69">
        <f ca="1">C19/Parametros!$C$6</f>
        <v>32739.77458372249</v>
      </c>
      <c r="D20" s="63" t="s">
        <v>99</v>
      </c>
      <c r="E20" s="69">
        <f ca="1">E19/Parametros!$C$17</f>
        <v>17980.687990974646</v>
      </c>
      <c r="F20" s="63" t="s">
        <v>99</v>
      </c>
      <c r="G20" s="31"/>
      <c r="H20" s="31"/>
    </row>
    <row r="21" spans="1:8" ht="13.5" customHeight="1" x14ac:dyDescent="0.3">
      <c r="A21" s="255" t="s">
        <v>122</v>
      </c>
      <c r="B21" s="255"/>
      <c r="C21" s="121">
        <f ca="1">SUM(C4:C14,C17)</f>
        <v>256337.39666977993</v>
      </c>
      <c r="D21" s="41"/>
      <c r="E21" s="51">
        <f ca="1">SUM(E4:E14)</f>
        <v>143704.19192779716</v>
      </c>
      <c r="F21" s="42"/>
      <c r="G21" s="61"/>
      <c r="H21" s="61"/>
    </row>
    <row r="22" spans="1:8" ht="13.5" customHeight="1" x14ac:dyDescent="0.3">
      <c r="A22" s="255" t="s">
        <v>123</v>
      </c>
      <c r="B22" s="255"/>
      <c r="C22" s="105">
        <f ca="1">C21/Parametros!C42</f>
        <v>0.40052718229653117</v>
      </c>
      <c r="D22" s="41"/>
      <c r="E22" s="120">
        <f ca="1">E21/Parametros!C43</f>
        <v>0.22453779988718306</v>
      </c>
      <c r="F22" s="42"/>
      <c r="G22" s="61"/>
      <c r="H22" s="61"/>
    </row>
    <row r="23" spans="1:8" ht="13.5" customHeight="1" x14ac:dyDescent="0.3">
      <c r="A23" s="255" t="s">
        <v>124</v>
      </c>
      <c r="B23" s="255"/>
      <c r="C23" s="43"/>
      <c r="D23" s="43"/>
      <c r="E23" s="42"/>
      <c r="F23" s="44"/>
      <c r="G23" s="62"/>
      <c r="H23" s="62"/>
    </row>
    <row r="24" spans="1:8" ht="12.6" customHeight="1" x14ac:dyDescent="0.25">
      <c r="G24" s="31"/>
      <c r="H24" s="31"/>
    </row>
    <row r="25" spans="1:8" ht="16.5" x14ac:dyDescent="0.3">
      <c r="A25" s="255" t="s">
        <v>125</v>
      </c>
      <c r="B25" s="255"/>
      <c r="C25" s="121">
        <f ca="1">C19</f>
        <v>261918.19666977992</v>
      </c>
      <c r="D25" s="41"/>
      <c r="E25" s="51">
        <f ca="1">E19</f>
        <v>143845.50392779717</v>
      </c>
      <c r="F25" s="42"/>
      <c r="G25" s="61"/>
      <c r="H25" s="61"/>
    </row>
    <row r="26" spans="1:8" ht="16.5" x14ac:dyDescent="0.3">
      <c r="A26" s="255" t="s">
        <v>126</v>
      </c>
      <c r="B26" s="255"/>
      <c r="C26" s="105">
        <f ca="1">C25/Parametros!C42</f>
        <v>0.40924718229653112</v>
      </c>
      <c r="D26" s="41"/>
      <c r="E26" s="110">
        <f ca="1">E25/Parametros!C43</f>
        <v>0.22475859988718308</v>
      </c>
      <c r="F26" s="42"/>
      <c r="G26" s="62"/>
      <c r="H26" s="61"/>
    </row>
    <row r="27" spans="1:8" ht="13.5" customHeight="1" x14ac:dyDescent="0.3">
      <c r="A27" s="255" t="s">
        <v>124</v>
      </c>
      <c r="B27" s="255"/>
      <c r="C27" s="43"/>
      <c r="D27" s="43"/>
      <c r="E27" s="42"/>
      <c r="F27" s="44"/>
      <c r="G27" s="62"/>
      <c r="H27" s="62"/>
    </row>
    <row r="28" spans="1:8" ht="12.6" customHeight="1" x14ac:dyDescent="0.25"/>
    <row r="29" spans="1:8" ht="13.5" customHeight="1" x14ac:dyDescent="0.3">
      <c r="A29" s="255" t="s">
        <v>145</v>
      </c>
      <c r="B29" s="255"/>
      <c r="C29" s="40"/>
      <c r="D29" s="41"/>
      <c r="E29" s="100">
        <f>Parametros!$C$121-Parametros!$C$130+Parametros!$C$129</f>
        <v>27000</v>
      </c>
      <c r="F29" s="42"/>
    </row>
    <row r="30" spans="1:8" ht="16.5" x14ac:dyDescent="0.3">
      <c r="A30" s="255" t="s">
        <v>146</v>
      </c>
      <c r="B30" s="255"/>
      <c r="C30" s="101"/>
      <c r="D30" s="102"/>
      <c r="E30" s="100">
        <f>(Parametros!$C$117-Parametros!$C$125)*CTP!E4+(Parametros!$C$120-Parametros!$C$128)*Parametros!$C$17</f>
        <v>6520</v>
      </c>
      <c r="F30" s="103"/>
    </row>
    <row r="34" spans="1:8" ht="12.6" customHeight="1" x14ac:dyDescent="0.25">
      <c r="A34" s="256" t="s">
        <v>127</v>
      </c>
      <c r="B34" s="256"/>
      <c r="C34" s="256"/>
      <c r="D34" s="256"/>
      <c r="E34" s="256"/>
      <c r="F34" s="256"/>
      <c r="G34" s="60"/>
      <c r="H34" s="60"/>
    </row>
    <row r="35" spans="1:8" x14ac:dyDescent="0.25">
      <c r="C35" s="111" t="s">
        <v>91</v>
      </c>
      <c r="D35" s="112" t="s">
        <v>137</v>
      </c>
    </row>
    <row r="36" spans="1:8" ht="12.95" customHeight="1" thickBot="1" x14ac:dyDescent="0.3">
      <c r="B36" s="28"/>
      <c r="C36" s="31"/>
      <c r="D36" s="31"/>
      <c r="E36" s="6">
        <v>2020</v>
      </c>
      <c r="F36" s="6" t="s">
        <v>23</v>
      </c>
      <c r="G36" s="6" t="s">
        <v>29</v>
      </c>
      <c r="H36" s="6" t="s">
        <v>131</v>
      </c>
    </row>
    <row r="37" spans="1:8" x14ac:dyDescent="0.25">
      <c r="A37" s="251" t="s">
        <v>18</v>
      </c>
      <c r="B37" s="29" t="s">
        <v>139</v>
      </c>
      <c r="C37" s="53">
        <f>C4/Parametros!$C$42</f>
        <v>1.4843749999999999E-2</v>
      </c>
      <c r="D37" s="81">
        <f>E4/Parametros!$C$43</f>
        <v>3.125E-2</v>
      </c>
      <c r="E37" s="25" t="s">
        <v>183</v>
      </c>
      <c r="F37" s="63">
        <f>SUM(C4:C5)+SUM(C6)</f>
        <v>9975</v>
      </c>
      <c r="G37" s="63">
        <f>SUM(E4:E5)+SUM(E6)</f>
        <v>23000</v>
      </c>
      <c r="H37" s="89">
        <f>G37/F37</f>
        <v>2.3057644110275688</v>
      </c>
    </row>
    <row r="38" spans="1:8" x14ac:dyDescent="0.25">
      <c r="A38" s="252"/>
      <c r="B38" s="29" t="s">
        <v>167</v>
      </c>
      <c r="C38" s="54">
        <f>(C4+C17)/Parametros!$C$42</f>
        <v>1.4843749999999999E-2</v>
      </c>
      <c r="D38" s="82">
        <f>(E4+E17)/Parametros!$C$43</f>
        <v>0.05</v>
      </c>
      <c r="E38" s="25" t="s">
        <v>184</v>
      </c>
      <c r="F38" s="63">
        <f>F37-F39</f>
        <v>6982.5</v>
      </c>
      <c r="G38" s="63">
        <f>G37-G39</f>
        <v>14700</v>
      </c>
      <c r="H38" s="89">
        <f>G38/F38</f>
        <v>2.1052631578947367</v>
      </c>
    </row>
    <row r="39" spans="1:8" x14ac:dyDescent="0.25">
      <c r="A39" s="253"/>
      <c r="B39" s="113" t="s">
        <v>110</v>
      </c>
      <c r="C39" s="55">
        <f>C5/Parametros!$C$42</f>
        <v>0</v>
      </c>
      <c r="D39" s="83">
        <f>E5/Parametros!$C$43</f>
        <v>3.1250000000000002E-3</v>
      </c>
      <c r="E39" s="25" t="s">
        <v>43</v>
      </c>
      <c r="F39" s="104">
        <f>(1-Parametros!$C$52)*(C4+C6)</f>
        <v>2992.5000000000005</v>
      </c>
      <c r="G39" s="104">
        <f>(1-Parametros!$C$52)*(E4+E6)+E5</f>
        <v>8300</v>
      </c>
      <c r="H39" s="89">
        <f>G39/F39</f>
        <v>2.7736006683375098</v>
      </c>
    </row>
    <row r="40" spans="1:8" x14ac:dyDescent="0.25">
      <c r="A40" s="251" t="s">
        <v>19</v>
      </c>
      <c r="B40" s="29" t="s">
        <v>95</v>
      </c>
      <c r="C40" s="54">
        <f>C6/Parametros!$C$42</f>
        <v>7.4218750000000001E-4</v>
      </c>
      <c r="D40" s="82">
        <f>E6/Parametros!$C$43</f>
        <v>1.5625000000000001E-3</v>
      </c>
    </row>
    <row r="41" spans="1:8" x14ac:dyDescent="0.25">
      <c r="A41" s="252"/>
      <c r="B41" s="116" t="s">
        <v>133</v>
      </c>
      <c r="C41" s="54">
        <f>C7/Parametros!$C$42</f>
        <v>3.4140625E-3</v>
      </c>
      <c r="D41" s="82">
        <f>E7/Parametros!$C$43</f>
        <v>0</v>
      </c>
    </row>
    <row r="42" spans="1:8" x14ac:dyDescent="0.25">
      <c r="A42" s="252"/>
      <c r="B42" s="116" t="s">
        <v>96</v>
      </c>
      <c r="C42" s="54">
        <f>C8/Parametros!$C$42</f>
        <v>0</v>
      </c>
      <c r="D42" s="82">
        <f>E8/Parametros!$C$43</f>
        <v>0</v>
      </c>
    </row>
    <row r="43" spans="1:8" x14ac:dyDescent="0.25">
      <c r="A43" s="252"/>
      <c r="B43" s="113" t="s">
        <v>134</v>
      </c>
      <c r="C43" s="54">
        <f>C9/Parametros!$C$42</f>
        <v>0</v>
      </c>
      <c r="D43" s="82">
        <f>E9/Parametros!$C$43</f>
        <v>0</v>
      </c>
    </row>
    <row r="44" spans="1:8" x14ac:dyDescent="0.25">
      <c r="A44" s="252"/>
      <c r="B44" s="113" t="s">
        <v>98</v>
      </c>
      <c r="C44" s="54">
        <f>C10/Parametros!$C$42</f>
        <v>6.25E-2</v>
      </c>
      <c r="D44" s="82">
        <f>E10/Parametros!$C$43</f>
        <v>3.90625E-2</v>
      </c>
    </row>
    <row r="45" spans="1:8" x14ac:dyDescent="0.25">
      <c r="A45" s="252"/>
      <c r="B45" s="113" t="s">
        <v>135</v>
      </c>
      <c r="C45" s="54">
        <f>C11/Parametros!$C$42</f>
        <v>3.0000000000000001E-3</v>
      </c>
      <c r="D45" s="82">
        <f>E11/Parametros!$C$43</f>
        <v>0</v>
      </c>
    </row>
    <row r="46" spans="1:8" x14ac:dyDescent="0.25">
      <c r="A46" s="252"/>
      <c r="B46" s="30" t="s">
        <v>118</v>
      </c>
      <c r="C46" s="55">
        <f>C12/Parametros!$C$42</f>
        <v>4.2425324728505697E-3</v>
      </c>
      <c r="D46" s="83">
        <f>E12/Parametros!$C$43</f>
        <v>7.3267419350215388E-3</v>
      </c>
    </row>
    <row r="47" spans="1:8" x14ac:dyDescent="0.25">
      <c r="A47" s="251" t="s">
        <v>20</v>
      </c>
      <c r="B47" s="113" t="s">
        <v>54</v>
      </c>
      <c r="C47" s="54">
        <f>C13/Parametros!$C$42</f>
        <v>0.16583210745079924</v>
      </c>
      <c r="D47" s="82">
        <f>E13/Parametros!$C$43</f>
        <v>0.12275305795216154</v>
      </c>
    </row>
    <row r="48" spans="1:8" ht="14.25" thickBot="1" x14ac:dyDescent="0.3">
      <c r="A48" s="253"/>
      <c r="B48" s="30" t="s">
        <v>119</v>
      </c>
      <c r="C48" s="57">
        <f ca="1">C14/Parametros!$C$42</f>
        <v>0.14595254237288133</v>
      </c>
      <c r="D48" s="85">
        <f ca="1">E14/Parametros!$C$43</f>
        <v>1.9458000000000003E-2</v>
      </c>
    </row>
    <row r="49" spans="1:4" x14ac:dyDescent="0.25">
      <c r="A49" s="70" t="s">
        <v>120</v>
      </c>
      <c r="B49" s="71" t="s">
        <v>121</v>
      </c>
      <c r="C49" s="54">
        <f>C18/Parametros!$C$42</f>
        <v>8.7200000000000003E-3</v>
      </c>
      <c r="D49" s="81">
        <f>E18/Parametros!$C$43</f>
        <v>2.2080000000000005E-4</v>
      </c>
    </row>
    <row r="93" spans="1:8" s="66" customFormat="1" x14ac:dyDescent="0.25">
      <c r="A93" s="67" t="s">
        <v>128</v>
      </c>
    </row>
    <row r="94" spans="1:8" x14ac:dyDescent="0.25">
      <c r="A94" s="256" t="s">
        <v>116</v>
      </c>
      <c r="B94" s="256"/>
      <c r="C94" s="256"/>
      <c r="D94" s="256"/>
      <c r="E94" s="256"/>
      <c r="F94" s="256"/>
      <c r="G94" s="60"/>
      <c r="H94" s="60"/>
    </row>
    <row r="95" spans="1:8" ht="24" customHeight="1" x14ac:dyDescent="0.25">
      <c r="C95" s="38" t="s">
        <v>148</v>
      </c>
      <c r="D95" s="38" t="s">
        <v>149</v>
      </c>
      <c r="E95" s="39" t="s">
        <v>150</v>
      </c>
      <c r="F95" s="39" t="s">
        <v>151</v>
      </c>
      <c r="G95" s="58"/>
      <c r="H95" s="58"/>
    </row>
    <row r="96" spans="1:8" ht="14.25" thickBot="1" x14ac:dyDescent="0.3">
      <c r="B96" s="28"/>
      <c r="C96" s="31"/>
      <c r="D96" s="31"/>
      <c r="E96" s="31"/>
      <c r="F96" s="31"/>
      <c r="G96" s="31"/>
      <c r="H96" s="31"/>
    </row>
    <row r="97" spans="1:8" x14ac:dyDescent="0.25">
      <c r="A97" s="251" t="s">
        <v>18</v>
      </c>
      <c r="B97" s="29" t="s">
        <v>165</v>
      </c>
      <c r="C97" s="47">
        <f t="shared" ref="C97" si="2">C4</f>
        <v>9500</v>
      </c>
      <c r="D97" s="47">
        <f>C97</f>
        <v>9500</v>
      </c>
      <c r="E97" s="37">
        <f t="shared" ref="E97" si="3">E4</f>
        <v>20000</v>
      </c>
      <c r="F97" s="78">
        <f>E97</f>
        <v>20000</v>
      </c>
      <c r="G97" s="59"/>
      <c r="H97" s="59"/>
    </row>
    <row r="98" spans="1:8" x14ac:dyDescent="0.25">
      <c r="A98" s="252"/>
      <c r="B98" s="113" t="s">
        <v>166</v>
      </c>
      <c r="C98" s="32">
        <f>C97</f>
        <v>9500</v>
      </c>
      <c r="D98" s="32">
        <f>C98</f>
        <v>9500</v>
      </c>
      <c r="E98" s="33">
        <f>Parametros!C15</f>
        <v>32000</v>
      </c>
      <c r="F98" s="79">
        <f>E98</f>
        <v>32000</v>
      </c>
      <c r="G98" s="59"/>
      <c r="H98" s="59"/>
    </row>
    <row r="99" spans="1:8" x14ac:dyDescent="0.25">
      <c r="A99" s="253"/>
      <c r="B99" s="30" t="s">
        <v>110</v>
      </c>
      <c r="C99" s="32">
        <f t="shared" ref="C99:C106" si="4">C5</f>
        <v>0</v>
      </c>
      <c r="D99" s="32">
        <f t="shared" ref="D99:D100" si="5">C99</f>
        <v>0</v>
      </c>
      <c r="E99" s="33">
        <f t="shared" ref="E99:E106" si="6">E5</f>
        <v>2000</v>
      </c>
      <c r="F99" s="33">
        <f>E99</f>
        <v>2000</v>
      </c>
      <c r="G99" s="59"/>
      <c r="H99" s="59"/>
    </row>
    <row r="100" spans="1:8" x14ac:dyDescent="0.25">
      <c r="A100" s="251" t="s">
        <v>19</v>
      </c>
      <c r="B100" s="29" t="s">
        <v>95</v>
      </c>
      <c r="C100" s="36">
        <f t="shared" si="4"/>
        <v>475</v>
      </c>
      <c r="D100" s="36">
        <f t="shared" si="5"/>
        <v>475</v>
      </c>
      <c r="E100" s="37">
        <f t="shared" si="6"/>
        <v>1000</v>
      </c>
      <c r="F100" s="78">
        <f t="shared" ref="F100" si="7">E100</f>
        <v>1000</v>
      </c>
      <c r="G100" s="59"/>
      <c r="H100" s="59"/>
    </row>
    <row r="101" spans="1:8" x14ac:dyDescent="0.25">
      <c r="A101" s="252"/>
      <c r="B101" s="116" t="s">
        <v>133</v>
      </c>
      <c r="C101" s="32">
        <f t="shared" si="4"/>
        <v>2185</v>
      </c>
      <c r="D101" s="32">
        <f t="shared" ref="D101:D106" si="8">C101</f>
        <v>2185</v>
      </c>
      <c r="E101" s="33">
        <f t="shared" si="6"/>
        <v>0</v>
      </c>
      <c r="F101" s="79">
        <f t="shared" ref="F101:F106" si="9">E101</f>
        <v>0</v>
      </c>
      <c r="G101" s="59"/>
      <c r="H101" s="59"/>
    </row>
    <row r="102" spans="1:8" x14ac:dyDescent="0.25">
      <c r="A102" s="252"/>
      <c r="B102" s="116" t="s">
        <v>96</v>
      </c>
      <c r="C102" s="32">
        <f t="shared" si="4"/>
        <v>0</v>
      </c>
      <c r="D102" s="32">
        <f t="shared" si="8"/>
        <v>0</v>
      </c>
      <c r="E102" s="33">
        <f t="shared" si="6"/>
        <v>0</v>
      </c>
      <c r="F102" s="79">
        <f t="shared" si="9"/>
        <v>0</v>
      </c>
      <c r="G102" s="59"/>
      <c r="H102" s="59"/>
    </row>
    <row r="103" spans="1:8" x14ac:dyDescent="0.25">
      <c r="A103" s="252"/>
      <c r="B103" s="113" t="s">
        <v>134</v>
      </c>
      <c r="C103" s="32">
        <f t="shared" si="4"/>
        <v>0</v>
      </c>
      <c r="D103" s="32">
        <f t="shared" si="8"/>
        <v>0</v>
      </c>
      <c r="E103" s="33">
        <f t="shared" si="6"/>
        <v>0</v>
      </c>
      <c r="F103" s="79">
        <f t="shared" si="9"/>
        <v>0</v>
      </c>
      <c r="G103" s="59"/>
      <c r="H103" s="59"/>
    </row>
    <row r="104" spans="1:8" x14ac:dyDescent="0.25">
      <c r="A104" s="252"/>
      <c r="B104" s="113" t="s">
        <v>98</v>
      </c>
      <c r="C104" s="32">
        <f t="shared" si="4"/>
        <v>40000</v>
      </c>
      <c r="D104" s="32">
        <f t="shared" si="8"/>
        <v>40000</v>
      </c>
      <c r="E104" s="33">
        <f t="shared" si="6"/>
        <v>25000</v>
      </c>
      <c r="F104" s="79">
        <f t="shared" si="9"/>
        <v>25000</v>
      </c>
      <c r="G104" s="59"/>
      <c r="H104" s="59"/>
    </row>
    <row r="105" spans="1:8" x14ac:dyDescent="0.25">
      <c r="A105" s="252"/>
      <c r="B105" s="113" t="s">
        <v>135</v>
      </c>
      <c r="C105" s="32">
        <f t="shared" si="4"/>
        <v>1920</v>
      </c>
      <c r="D105" s="32">
        <f t="shared" si="8"/>
        <v>1920</v>
      </c>
      <c r="E105" s="33">
        <f t="shared" si="6"/>
        <v>0</v>
      </c>
      <c r="F105" s="79">
        <f t="shared" si="9"/>
        <v>0</v>
      </c>
      <c r="G105" s="59"/>
      <c r="H105" s="59"/>
    </row>
    <row r="106" spans="1:8" x14ac:dyDescent="0.25">
      <c r="A106" s="252"/>
      <c r="B106" s="30" t="s">
        <v>118</v>
      </c>
      <c r="C106" s="34">
        <f t="shared" si="4"/>
        <v>2715.2207826243648</v>
      </c>
      <c r="D106" s="34">
        <f t="shared" si="8"/>
        <v>2715.2207826243648</v>
      </c>
      <c r="E106" s="35">
        <f t="shared" si="6"/>
        <v>4689.114838413785</v>
      </c>
      <c r="F106" s="80">
        <f t="shared" si="9"/>
        <v>4689.114838413785</v>
      </c>
      <c r="G106" s="59"/>
      <c r="H106" s="59"/>
    </row>
    <row r="107" spans="1:8" x14ac:dyDescent="0.25">
      <c r="A107" s="251" t="s">
        <v>20</v>
      </c>
      <c r="B107" s="113" t="s">
        <v>54</v>
      </c>
      <c r="C107" s="90">
        <f>(Parametros!$C$8+Parametros!$C$9+Parametros!$C$10)*Parametros!$H$42</f>
        <v>172465.3917488312</v>
      </c>
      <c r="D107" s="90">
        <f>(Parametros!$C$8+Parametros!$C$9+Parametros!$C$10)*Parametros!$I$42</f>
        <v>39799.705788191815</v>
      </c>
      <c r="E107" s="90">
        <f>Parametros!$H$43*(Parametros!$C$20+Parametros!$C$21+Parametros!$C$22)</f>
        <v>127663.18027024801</v>
      </c>
      <c r="F107" s="90">
        <f>Parametros!$I$43*(Parametros!$C$20+Parametros!$C$21+Parametros!$C$22)</f>
        <v>29460.73390851877</v>
      </c>
      <c r="G107" s="59"/>
      <c r="H107" s="59"/>
    </row>
    <row r="108" spans="1:8" x14ac:dyDescent="0.25">
      <c r="A108" s="253"/>
      <c r="B108" s="30" t="s">
        <v>119</v>
      </c>
      <c r="C108" s="96">
        <f ca="1">SUM(Parametros!$K$80:OFFSET(Parametros!$K$80,Parametros!$C$6-1,0))</f>
        <v>151790.64406779656</v>
      </c>
      <c r="D108" s="96">
        <f ca="1">SUM(Parametros!$L$80:OFFSET(Parametros!$L$80,Parametros!$C$6-1,0))</f>
        <v>35028.610169491505</v>
      </c>
      <c r="E108" s="96">
        <f ca="1">SUM(Parametros!$M$80:OFFSET(Parametros!$M$80,Parametros!$C$17-1,0))</f>
        <v>20236.320000000003</v>
      </c>
      <c r="F108" s="96">
        <f ca="1">SUM(Parametros!$N$80:OFFSET(Parametros!$N$80,Parametros!$C$17-1,0))</f>
        <v>4669.920000000001</v>
      </c>
      <c r="G108" s="59"/>
      <c r="H108" s="59"/>
    </row>
    <row r="109" spans="1:8" x14ac:dyDescent="0.25">
      <c r="A109" s="70" t="s">
        <v>120</v>
      </c>
      <c r="B109" s="71" t="s">
        <v>121</v>
      </c>
      <c r="C109" s="90">
        <f>Parametros!F139</f>
        <v>9068.7999999999993</v>
      </c>
      <c r="D109" s="90">
        <f>Parametros!G139</f>
        <v>2092.8000000000002</v>
      </c>
      <c r="E109" s="90">
        <f>Parametros!H139</f>
        <v>229.63200000000003</v>
      </c>
      <c r="F109" s="91">
        <f>Parametros!I139</f>
        <v>52.992000000000004</v>
      </c>
      <c r="G109" s="59"/>
      <c r="H109" s="59"/>
    </row>
    <row r="110" spans="1:8" x14ac:dyDescent="0.25">
      <c r="C110" s="63">
        <f ca="1">SUM(C98:C109)</f>
        <v>390120.0565992521</v>
      </c>
      <c r="D110" s="63"/>
      <c r="E110" s="63">
        <f ca="1">SUM(E98:E109)</f>
        <v>212818.2471086618</v>
      </c>
      <c r="G110" s="31"/>
      <c r="H110" s="31"/>
    </row>
    <row r="111" spans="1:8" ht="16.5" x14ac:dyDescent="0.3">
      <c r="A111" s="255" t="s">
        <v>122</v>
      </c>
      <c r="B111" s="255"/>
      <c r="C111" s="121">
        <f ca="1">SUM(C98:C108)</f>
        <v>381051.25659925211</v>
      </c>
      <c r="D111" s="121">
        <f ca="1">SUM(D98:D108)</f>
        <v>131623.5367403077</v>
      </c>
      <c r="E111" s="51">
        <f ca="1">SUM(E98:E108)</f>
        <v>212588.61510866179</v>
      </c>
      <c r="F111" s="51">
        <f ca="1">SUM(F98:F108)</f>
        <v>98819.768746932546</v>
      </c>
      <c r="G111" s="61"/>
      <c r="H111" s="61"/>
    </row>
    <row r="112" spans="1:8" ht="16.5" x14ac:dyDescent="0.3">
      <c r="A112" s="255" t="s">
        <v>123</v>
      </c>
      <c r="B112" s="255"/>
      <c r="C112" s="43">
        <f ca="1">C111/Parametros!$H$42</f>
        <v>0.36639543903774241</v>
      </c>
      <c r="D112" s="43">
        <f ca="1">D111/Parametros!$I$42</f>
        <v>0.54843140308461535</v>
      </c>
      <c r="E112" s="44">
        <f ca="1">E111/Parametros!$H$43</f>
        <v>0.20441212991217481</v>
      </c>
      <c r="F112" s="44">
        <f ca="1">F111/Parametros!$I$43</f>
        <v>0.41174903644555227</v>
      </c>
      <c r="G112" s="61"/>
      <c r="H112" s="61"/>
    </row>
    <row r="113" spans="1:9" ht="16.5" x14ac:dyDescent="0.3">
      <c r="A113" s="255" t="s">
        <v>124</v>
      </c>
      <c r="B113" s="255"/>
      <c r="C113" s="43"/>
      <c r="D113" s="43"/>
      <c r="E113" s="42"/>
      <c r="F113" s="44"/>
      <c r="G113" s="62"/>
      <c r="H113" s="62"/>
    </row>
    <row r="114" spans="1:9" x14ac:dyDescent="0.25">
      <c r="G114" s="31"/>
      <c r="H114" s="31"/>
    </row>
    <row r="115" spans="1:9" ht="16.5" x14ac:dyDescent="0.3">
      <c r="A115" s="255" t="s">
        <v>125</v>
      </c>
      <c r="B115" s="255"/>
      <c r="C115" s="121">
        <f ca="1">C111+C109</f>
        <v>390120.0565992521</v>
      </c>
      <c r="D115" s="121">
        <f t="shared" ref="D115:E115" ca="1" si="10">D111+D109</f>
        <v>133716.33674030768</v>
      </c>
      <c r="E115" s="51">
        <f t="shared" ca="1" si="10"/>
        <v>212818.2471086618</v>
      </c>
      <c r="F115" s="51">
        <f ca="1">F111+F109</f>
        <v>98872.760746932545</v>
      </c>
      <c r="G115" s="61"/>
      <c r="H115" s="61"/>
    </row>
    <row r="116" spans="1:9" ht="16.5" x14ac:dyDescent="0.3">
      <c r="A116" s="255" t="s">
        <v>126</v>
      </c>
      <c r="B116" s="255"/>
      <c r="C116" s="43">
        <f ca="1">C115/Parametros!$H$42</f>
        <v>0.37511543903774242</v>
      </c>
      <c r="D116" s="43">
        <f ca="1">D115/Parametros!$I$42</f>
        <v>0.5571514030846153</v>
      </c>
      <c r="E116" s="44">
        <f ca="1">E115/Parametros!$H$43</f>
        <v>0.2046329299121748</v>
      </c>
      <c r="F116" s="44">
        <f ca="1">F115/Parametros!$I$43</f>
        <v>0.4119698364455523</v>
      </c>
      <c r="G116" s="61"/>
      <c r="H116" s="61"/>
    </row>
    <row r="117" spans="1:9" ht="16.5" x14ac:dyDescent="0.3">
      <c r="A117" s="255" t="s">
        <v>124</v>
      </c>
      <c r="B117" s="255"/>
      <c r="C117" s="43"/>
      <c r="D117" s="43"/>
      <c r="E117" s="42"/>
      <c r="F117" s="44"/>
      <c r="G117" s="62"/>
      <c r="H117" s="62"/>
    </row>
    <row r="119" spans="1:9" x14ac:dyDescent="0.25">
      <c r="A119" s="256" t="s">
        <v>127</v>
      </c>
      <c r="B119" s="256"/>
      <c r="C119" s="256"/>
      <c r="D119" s="256"/>
      <c r="E119" s="256"/>
      <c r="F119" s="256"/>
      <c r="G119" s="60"/>
      <c r="H119" s="60"/>
    </row>
    <row r="120" spans="1:9" ht="27" x14ac:dyDescent="0.25">
      <c r="C120" s="38" t="s">
        <v>147</v>
      </c>
      <c r="D120" s="38" t="s">
        <v>144</v>
      </c>
      <c r="E120" s="38" t="s">
        <v>143</v>
      </c>
      <c r="F120" s="39" t="s">
        <v>152</v>
      </c>
      <c r="G120" s="39" t="s">
        <v>144</v>
      </c>
      <c r="H120" s="39" t="s">
        <v>143</v>
      </c>
    </row>
    <row r="121" spans="1:9" ht="14.25" thickBot="1" x14ac:dyDescent="0.3">
      <c r="B121" s="28"/>
      <c r="C121" s="31"/>
      <c r="D121" s="31"/>
      <c r="E121" s="31"/>
      <c r="F121" s="31"/>
      <c r="G121" s="31"/>
      <c r="H121" s="31"/>
    </row>
    <row r="122" spans="1:9" ht="14.25" thickBot="1" x14ac:dyDescent="0.3">
      <c r="A122" s="251" t="s">
        <v>18</v>
      </c>
      <c r="B122" s="29" t="s">
        <v>165</v>
      </c>
      <c r="C122" s="53">
        <f t="shared" ref="C122:C134" si="11">C37</f>
        <v>1.4843749999999999E-2</v>
      </c>
      <c r="D122" s="53">
        <f>C97/Parametros!$H$42</f>
        <v>9.1346153846153851E-3</v>
      </c>
      <c r="E122" s="53">
        <f>D97/Parametros!$I$42</f>
        <v>3.9583333333333331E-2</v>
      </c>
      <c r="F122" s="81">
        <f t="shared" ref="F122:F134" si="12">D37</f>
        <v>3.125E-2</v>
      </c>
      <c r="G122" s="81">
        <f>E97/Parametros!$H$43</f>
        <v>1.9230769230769232E-2</v>
      </c>
      <c r="H122" s="81">
        <f>F97/Parametros!$I$43</f>
        <v>8.3333333333333329E-2</v>
      </c>
    </row>
    <row r="123" spans="1:9" x14ac:dyDescent="0.25">
      <c r="A123" s="252"/>
      <c r="B123" s="29" t="s">
        <v>166</v>
      </c>
      <c r="C123" s="53">
        <f t="shared" si="11"/>
        <v>1.4843749999999999E-2</v>
      </c>
      <c r="D123" s="53">
        <f>C98/Parametros!$H$42</f>
        <v>9.1346153846153851E-3</v>
      </c>
      <c r="E123" s="53">
        <f>D98/Parametros!$I$42</f>
        <v>3.9583333333333331E-2</v>
      </c>
      <c r="F123" s="81">
        <f t="shared" si="12"/>
        <v>0.05</v>
      </c>
      <c r="G123" s="81">
        <f>E98/Parametros!$H$43</f>
        <v>3.0769230769230771E-2</v>
      </c>
      <c r="H123" s="81">
        <f>F98/Parametros!$I$43</f>
        <v>0.13333333333333333</v>
      </c>
      <c r="I123" s="122"/>
    </row>
    <row r="124" spans="1:9" x14ac:dyDescent="0.25">
      <c r="A124" s="253"/>
      <c r="B124" s="113" t="s">
        <v>110</v>
      </c>
      <c r="C124" s="54">
        <f t="shared" si="11"/>
        <v>0</v>
      </c>
      <c r="D124" s="54">
        <f>C99/Parametros!$H$42</f>
        <v>0</v>
      </c>
      <c r="E124" s="54">
        <f>D99/Parametros!$I$42</f>
        <v>0</v>
      </c>
      <c r="F124" s="82">
        <f t="shared" si="12"/>
        <v>3.1250000000000002E-3</v>
      </c>
      <c r="G124" s="82">
        <f>E99/Parametros!$H$43</f>
        <v>1.9230769230769232E-3</v>
      </c>
      <c r="H124" s="82">
        <f>F99/Parametros!$I$43</f>
        <v>8.3333333333333332E-3</v>
      </c>
      <c r="I124" s="122"/>
    </row>
    <row r="125" spans="1:9" x14ac:dyDescent="0.25">
      <c r="A125" s="251" t="s">
        <v>19</v>
      </c>
      <c r="B125" s="29" t="s">
        <v>95</v>
      </c>
      <c r="C125" s="56">
        <f t="shared" si="11"/>
        <v>7.4218750000000001E-4</v>
      </c>
      <c r="D125" s="56">
        <f>C100/Parametros!$H$42</f>
        <v>4.5673076923076922E-4</v>
      </c>
      <c r="E125" s="56">
        <f>D100/Parametros!$I$42</f>
        <v>1.9791666666666668E-3</v>
      </c>
      <c r="F125" s="84">
        <f t="shared" si="12"/>
        <v>1.5625000000000001E-3</v>
      </c>
      <c r="G125" s="84">
        <f>E100/Parametros!$H$43</f>
        <v>9.6153846153846159E-4</v>
      </c>
      <c r="H125" s="84">
        <f>F100/Parametros!$I$43</f>
        <v>4.1666666666666666E-3</v>
      </c>
    </row>
    <row r="126" spans="1:9" x14ac:dyDescent="0.25">
      <c r="A126" s="252"/>
      <c r="B126" s="116" t="s">
        <v>133</v>
      </c>
      <c r="C126" s="54">
        <f t="shared" si="11"/>
        <v>3.4140625E-3</v>
      </c>
      <c r="D126" s="54">
        <f>C101/Parametros!$H$42</f>
        <v>2.1009615384615385E-3</v>
      </c>
      <c r="E126" s="54">
        <f>D101/Parametros!$I$42</f>
        <v>9.1041666666666667E-3</v>
      </c>
      <c r="F126" s="82">
        <f t="shared" si="12"/>
        <v>0</v>
      </c>
      <c r="G126" s="82">
        <f>E101/Parametros!$H$43</f>
        <v>0</v>
      </c>
      <c r="H126" s="82">
        <f>F101/Parametros!$I$43</f>
        <v>0</v>
      </c>
    </row>
    <row r="127" spans="1:9" x14ac:dyDescent="0.25">
      <c r="A127" s="252"/>
      <c r="B127" s="116" t="s">
        <v>96</v>
      </c>
      <c r="C127" s="54">
        <f t="shared" si="11"/>
        <v>0</v>
      </c>
      <c r="D127" s="54">
        <f>C102/Parametros!$H$42</f>
        <v>0</v>
      </c>
      <c r="E127" s="54">
        <f>D102/Parametros!$I$42</f>
        <v>0</v>
      </c>
      <c r="F127" s="82">
        <f t="shared" si="12"/>
        <v>0</v>
      </c>
      <c r="G127" s="82">
        <f>E102/Parametros!$H$43</f>
        <v>0</v>
      </c>
      <c r="H127" s="82">
        <f>F102/Parametros!$I$43</f>
        <v>0</v>
      </c>
    </row>
    <row r="128" spans="1:9" x14ac:dyDescent="0.25">
      <c r="A128" s="252"/>
      <c r="B128" s="113" t="s">
        <v>134</v>
      </c>
      <c r="C128" s="54">
        <f t="shared" si="11"/>
        <v>0</v>
      </c>
      <c r="D128" s="54">
        <f>C103/Parametros!$H$42</f>
        <v>0</v>
      </c>
      <c r="E128" s="54">
        <f>D103/Parametros!$I$42</f>
        <v>0</v>
      </c>
      <c r="F128" s="82">
        <f t="shared" si="12"/>
        <v>0</v>
      </c>
      <c r="G128" s="82">
        <f>E103/Parametros!$H$43</f>
        <v>0</v>
      </c>
      <c r="H128" s="82">
        <f>F103/Parametros!$I$43</f>
        <v>0</v>
      </c>
    </row>
    <row r="129" spans="1:8" x14ac:dyDescent="0.25">
      <c r="A129" s="252"/>
      <c r="B129" s="113" t="s">
        <v>98</v>
      </c>
      <c r="C129" s="54">
        <f t="shared" si="11"/>
        <v>6.25E-2</v>
      </c>
      <c r="D129" s="54">
        <f>C104/Parametros!$H$42</f>
        <v>3.8461538461538464E-2</v>
      </c>
      <c r="E129" s="54">
        <f>D104/Parametros!$I$42</f>
        <v>0.16666666666666666</v>
      </c>
      <c r="F129" s="82">
        <f t="shared" si="12"/>
        <v>3.90625E-2</v>
      </c>
      <c r="G129" s="82">
        <f>E104/Parametros!$H$43</f>
        <v>2.403846153846154E-2</v>
      </c>
      <c r="H129" s="82">
        <f>F104/Parametros!$I$43</f>
        <v>0.10416666666666667</v>
      </c>
    </row>
    <row r="130" spans="1:8" x14ac:dyDescent="0.25">
      <c r="A130" s="252"/>
      <c r="B130" s="113" t="s">
        <v>135</v>
      </c>
      <c r="C130" s="54">
        <f t="shared" si="11"/>
        <v>3.0000000000000001E-3</v>
      </c>
      <c r="D130" s="54">
        <f>C105/Parametros!$H$42</f>
        <v>1.8461538461538461E-3</v>
      </c>
      <c r="E130" s="54">
        <f>D105/Parametros!$I$42</f>
        <v>8.0000000000000002E-3</v>
      </c>
      <c r="F130" s="82">
        <f t="shared" si="12"/>
        <v>0</v>
      </c>
      <c r="G130" s="82">
        <f>E105/Parametros!$H$43</f>
        <v>0</v>
      </c>
      <c r="H130" s="82">
        <f>F105/Parametros!$I$43</f>
        <v>0</v>
      </c>
    </row>
    <row r="131" spans="1:8" x14ac:dyDescent="0.25">
      <c r="A131" s="252"/>
      <c r="B131" s="30" t="s">
        <v>118</v>
      </c>
      <c r="C131" s="55">
        <f t="shared" si="11"/>
        <v>4.2425324728505697E-3</v>
      </c>
      <c r="D131" s="55">
        <f>C106/Parametros!$H$42</f>
        <v>2.6107892140618894E-3</v>
      </c>
      <c r="E131" s="55">
        <f>D106/Parametros!$I$42</f>
        <v>1.131341992760152E-2</v>
      </c>
      <c r="F131" s="83">
        <f t="shared" si="12"/>
        <v>7.3267419350215388E-3</v>
      </c>
      <c r="G131" s="83">
        <f>E106/Parametros!$H$43</f>
        <v>4.5087642677055628E-3</v>
      </c>
      <c r="H131" s="83">
        <f>F106/Parametros!$I$43</f>
        <v>1.953797849339077E-2</v>
      </c>
    </row>
    <row r="132" spans="1:8" x14ac:dyDescent="0.25">
      <c r="A132" s="251" t="s">
        <v>20</v>
      </c>
      <c r="B132" s="113" t="s">
        <v>54</v>
      </c>
      <c r="C132" s="54">
        <f t="shared" si="11"/>
        <v>0.16583210745079924</v>
      </c>
      <c r="D132" s="54">
        <f>C107/Parametros!$H$42</f>
        <v>0.16583210745079924</v>
      </c>
      <c r="E132" s="54">
        <f>D107/Parametros!$I$42</f>
        <v>0.16583210745079924</v>
      </c>
      <c r="F132" s="82">
        <f t="shared" si="12"/>
        <v>0.12275305795216154</v>
      </c>
      <c r="G132" s="82">
        <f>E107/Parametros!$H$43</f>
        <v>0.12275305795216154</v>
      </c>
      <c r="H132" s="82">
        <f>F107/Parametros!$I$43</f>
        <v>0.12275305795216154</v>
      </c>
    </row>
    <row r="133" spans="1:8" ht="14.25" thickBot="1" x14ac:dyDescent="0.3">
      <c r="A133" s="253"/>
      <c r="B133" s="30" t="s">
        <v>119</v>
      </c>
      <c r="C133" s="57">
        <f t="shared" ca="1" si="11"/>
        <v>0.14595254237288133</v>
      </c>
      <c r="D133" s="57">
        <f ca="1">C108/Parametros!$H$42</f>
        <v>0.1459525423728813</v>
      </c>
      <c r="E133" s="57">
        <f ca="1">D108/Parametros!$I$42</f>
        <v>0.14595254237288127</v>
      </c>
      <c r="F133" s="85">
        <f t="shared" ca="1" si="12"/>
        <v>1.9458000000000003E-2</v>
      </c>
      <c r="G133" s="85">
        <f ca="1">E108/Parametros!$H$43</f>
        <v>1.9458000000000003E-2</v>
      </c>
      <c r="H133" s="85">
        <f ca="1">F108/Parametros!$I$43</f>
        <v>1.9458000000000003E-2</v>
      </c>
    </row>
    <row r="134" spans="1:8" x14ac:dyDescent="0.25">
      <c r="A134" s="70" t="s">
        <v>120</v>
      </c>
      <c r="B134" s="71" t="s">
        <v>121</v>
      </c>
      <c r="C134" s="54">
        <f t="shared" si="11"/>
        <v>8.7200000000000003E-3</v>
      </c>
      <c r="D134" s="54">
        <f>C109/Parametros!$H$42</f>
        <v>8.7199999999999986E-3</v>
      </c>
      <c r="E134" s="54">
        <f>D109/Parametros!$I$42</f>
        <v>8.7200000000000003E-3</v>
      </c>
      <c r="F134" s="82">
        <f t="shared" si="12"/>
        <v>2.2080000000000005E-4</v>
      </c>
      <c r="G134" s="82">
        <f>E109/Parametros!$H$43</f>
        <v>2.2080000000000003E-4</v>
      </c>
      <c r="H134" s="82">
        <f>F109/Parametros!$I$43</f>
        <v>2.2080000000000003E-4</v>
      </c>
    </row>
    <row r="135" spans="1:8" x14ac:dyDescent="0.25">
      <c r="B135" s="86" t="s">
        <v>163</v>
      </c>
      <c r="C135" s="87">
        <f ca="1">SUM(C122,C124:C134)</f>
        <v>0.40924718229653118</v>
      </c>
      <c r="D135" s="87">
        <f t="shared" ref="D135:E135" ca="1" si="13">SUM(D122,D124:D134)</f>
        <v>0.37511543903774242</v>
      </c>
      <c r="E135" s="87">
        <f t="shared" ca="1" si="13"/>
        <v>0.5571514030846153</v>
      </c>
      <c r="F135" s="87">
        <f ca="1">SUM(F122,F124:F134)</f>
        <v>0.22475859988718311</v>
      </c>
      <c r="G135" s="87">
        <f ca="1">SUM(G122,G124:G134)</f>
        <v>0.19309446837371325</v>
      </c>
      <c r="H135" s="87">
        <f ca="1">SUM(H122,H124:H134)</f>
        <v>0.36196983644555236</v>
      </c>
    </row>
    <row r="136" spans="1:8" x14ac:dyDescent="0.25">
      <c r="B136" s="86" t="s">
        <v>164</v>
      </c>
      <c r="C136" s="87">
        <f ca="1">SUM(C123:C134)</f>
        <v>0.40924718229653118</v>
      </c>
      <c r="D136" s="87">
        <f t="shared" ref="D136:E136" ca="1" si="14">SUM(D123:D134)</f>
        <v>0.37511543903774242</v>
      </c>
      <c r="E136" s="87">
        <f t="shared" ca="1" si="14"/>
        <v>0.5571514030846153</v>
      </c>
      <c r="F136" s="87">
        <f ca="1">SUM(F123:F134)</f>
        <v>0.2435085998871831</v>
      </c>
      <c r="G136" s="87">
        <f ca="1">SUM(G123:G134)</f>
        <v>0.2046329299121748</v>
      </c>
      <c r="H136" s="87">
        <f ca="1">SUM(H123:H134)</f>
        <v>0.4119698364455523</v>
      </c>
    </row>
    <row r="138" spans="1:8" x14ac:dyDescent="0.25">
      <c r="B138" s="254" t="s">
        <v>168</v>
      </c>
      <c r="C138" s="254"/>
      <c r="D138" s="254"/>
      <c r="E138" s="254"/>
      <c r="F138" s="254"/>
    </row>
    <row r="139" spans="1:8" x14ac:dyDescent="0.25">
      <c r="C139" s="3" t="s">
        <v>136</v>
      </c>
      <c r="D139" s="3" t="s">
        <v>137</v>
      </c>
      <c r="E139" s="3" t="s">
        <v>23</v>
      </c>
      <c r="F139" s="3" t="s">
        <v>29</v>
      </c>
    </row>
    <row r="140" spans="1:8" x14ac:dyDescent="0.25">
      <c r="B140" s="88">
        <f>Parametros!I41</f>
        <v>30000</v>
      </c>
      <c r="C140" s="87">
        <f ca="1">E135</f>
        <v>0.5571514030846153</v>
      </c>
      <c r="D140" s="87">
        <f ca="1">H135</f>
        <v>0.36196983644555236</v>
      </c>
      <c r="E140" s="89">
        <f ca="1">C140/$C$141-1</f>
        <v>0.36140559345602563</v>
      </c>
      <c r="F140" s="89">
        <f ca="1">D140/$D$141-1</f>
        <v>0.61048269844732084</v>
      </c>
    </row>
    <row r="141" spans="1:8" x14ac:dyDescent="0.25">
      <c r="B141" s="108">
        <f>Parametros!C41</f>
        <v>80000</v>
      </c>
      <c r="C141" s="87">
        <f ca="1">C135</f>
        <v>0.40924718229653118</v>
      </c>
      <c r="D141" s="87">
        <f ca="1">F135</f>
        <v>0.22475859988718311</v>
      </c>
      <c r="E141" s="89">
        <f ca="1">C141/$C$141-1</f>
        <v>0</v>
      </c>
      <c r="F141" s="89">
        <f ca="1">D141/$D$141-1</f>
        <v>0</v>
      </c>
    </row>
    <row r="142" spans="1:8" x14ac:dyDescent="0.25">
      <c r="B142" s="88">
        <f>Parametros!H41</f>
        <v>130000</v>
      </c>
      <c r="C142" s="87">
        <f ca="1">D135</f>
        <v>0.37511543903774242</v>
      </c>
      <c r="D142" s="87">
        <f ca="1">G135</f>
        <v>0.19309446837371325</v>
      </c>
      <c r="E142" s="89">
        <f ca="1">C142/$C$141-1</f>
        <v>-8.3401290797544658E-2</v>
      </c>
      <c r="F142" s="89">
        <f ca="1">D142/$D$141-1</f>
        <v>-0.14088062271861268</v>
      </c>
    </row>
    <row r="143" spans="1:8" x14ac:dyDescent="0.25">
      <c r="C143" s="3" t="s">
        <v>38</v>
      </c>
      <c r="D143" s="3" t="s">
        <v>37</v>
      </c>
      <c r="E143" s="3" t="s">
        <v>23</v>
      </c>
      <c r="F143" s="3" t="s">
        <v>29</v>
      </c>
    </row>
    <row r="144" spans="1:8" x14ac:dyDescent="0.25">
      <c r="B144" s="88"/>
      <c r="C144" s="87">
        <f>N135</f>
        <v>0</v>
      </c>
      <c r="D144" s="87">
        <f>Q135</f>
        <v>0</v>
      </c>
      <c r="E144" s="89">
        <f ca="1">C144/$C$141-1</f>
        <v>-1</v>
      </c>
      <c r="F144" s="89">
        <f ca="1">D144/$D$141-1</f>
        <v>-1</v>
      </c>
    </row>
    <row r="145" spans="2:11" x14ac:dyDescent="0.25">
      <c r="B145" s="88"/>
      <c r="C145" s="87">
        <f>L135</f>
        <v>0</v>
      </c>
      <c r="D145" s="87">
        <f>O135</f>
        <v>0</v>
      </c>
      <c r="E145" s="89">
        <f ca="1">C145/$C$141-1</f>
        <v>-1</v>
      </c>
      <c r="F145" s="89">
        <f ca="1">D145/$D$141-1</f>
        <v>-1</v>
      </c>
    </row>
    <row r="146" spans="2:11" x14ac:dyDescent="0.25">
      <c r="B146" s="88"/>
      <c r="C146" s="87">
        <f>M135</f>
        <v>0</v>
      </c>
      <c r="D146" s="87">
        <f>P135</f>
        <v>0</v>
      </c>
      <c r="E146" s="89">
        <f ca="1">C146/$C$141-1</f>
        <v>-1</v>
      </c>
      <c r="F146" s="89">
        <f ca="1">D146/$D$141-1</f>
        <v>-1</v>
      </c>
      <c r="J146" s="59"/>
      <c r="K146" s="59"/>
    </row>
    <row r="147" spans="2:11" x14ac:dyDescent="0.25">
      <c r="D147" s="109">
        <f>C146-D146</f>
        <v>0</v>
      </c>
      <c r="J147" s="59"/>
      <c r="K147" s="59"/>
    </row>
    <row r="148" spans="2:11" x14ac:dyDescent="0.25">
      <c r="J148" s="59"/>
      <c r="K148" s="59"/>
    </row>
    <row r="149" spans="2:11" x14ac:dyDescent="0.25">
      <c r="J149" s="31"/>
      <c r="K149" s="31"/>
    </row>
    <row r="150" spans="2:11" ht="16.5" x14ac:dyDescent="0.3">
      <c r="J150" s="61"/>
      <c r="K150" s="61"/>
    </row>
    <row r="151" spans="2:11" ht="16.5" x14ac:dyDescent="0.3">
      <c r="J151" s="61"/>
      <c r="K151" s="61"/>
    </row>
    <row r="152" spans="2:11" ht="16.5" x14ac:dyDescent="0.3">
      <c r="B152" s="254" t="s">
        <v>169</v>
      </c>
      <c r="C152" s="254"/>
      <c r="D152" s="254"/>
      <c r="E152" s="254"/>
      <c r="F152" s="254"/>
      <c r="J152" s="62"/>
      <c r="K152" s="62"/>
    </row>
    <row r="153" spans="2:11" x14ac:dyDescent="0.25">
      <c r="C153" s="3" t="s">
        <v>136</v>
      </c>
      <c r="D153" s="3" t="s">
        <v>137</v>
      </c>
      <c r="E153" s="3" t="s">
        <v>23</v>
      </c>
      <c r="F153" s="3" t="s">
        <v>25</v>
      </c>
      <c r="J153" s="31"/>
      <c r="K153" s="31"/>
    </row>
    <row r="154" spans="2:11" ht="16.5" x14ac:dyDescent="0.3">
      <c r="B154" s="88">
        <f>B140</f>
        <v>30000</v>
      </c>
      <c r="C154" s="87">
        <f ca="1">E136</f>
        <v>0.5571514030846153</v>
      </c>
      <c r="D154" s="87">
        <f ca="1">H136</f>
        <v>0.4119698364455523</v>
      </c>
      <c r="E154" s="89">
        <f ca="1">C154/$C$141-1</f>
        <v>0.36140559345602563</v>
      </c>
      <c r="F154" s="89">
        <f ca="1">D154/$D$141-1</f>
        <v>0.83294359660693429</v>
      </c>
      <c r="J154" s="61"/>
      <c r="K154" s="61"/>
    </row>
    <row r="155" spans="2:11" ht="16.5" x14ac:dyDescent="0.3">
      <c r="B155" s="108">
        <f>B141</f>
        <v>80000</v>
      </c>
      <c r="C155" s="87">
        <f ca="1">C136</f>
        <v>0.40924718229653118</v>
      </c>
      <c r="D155" s="87">
        <f ca="1">F136</f>
        <v>0.2435085998871831</v>
      </c>
      <c r="E155" s="89">
        <f ca="1">C155/$C$141-1</f>
        <v>0</v>
      </c>
      <c r="F155" s="89">
        <f ca="1">D155/$D$141-1</f>
        <v>8.3422836809855072E-2</v>
      </c>
      <c r="J155" s="61"/>
      <c r="K155" s="61"/>
    </row>
    <row r="156" spans="2:11" ht="16.5" x14ac:dyDescent="0.3">
      <c r="B156" s="88">
        <f>B142</f>
        <v>130000</v>
      </c>
      <c r="C156" s="87">
        <f ca="1">D136</f>
        <v>0.37511543903774242</v>
      </c>
      <c r="D156" s="87">
        <f ca="1">G136</f>
        <v>0.2046329299121748</v>
      </c>
      <c r="E156" s="89">
        <f ca="1">C156/$C$141-1</f>
        <v>-8.3401290797544658E-2</v>
      </c>
      <c r="F156" s="89">
        <f ca="1">D156/$D$141-1</f>
        <v>-8.954349237408632E-2</v>
      </c>
      <c r="J156" s="61"/>
      <c r="K156" s="61"/>
    </row>
    <row r="157" spans="2:11" ht="16.5" x14ac:dyDescent="0.3">
      <c r="J157" s="61"/>
      <c r="K157" s="61"/>
    </row>
    <row r="158" spans="2:11" ht="16.5" x14ac:dyDescent="0.3">
      <c r="J158" s="61"/>
      <c r="K158" s="61"/>
    </row>
    <row r="159" spans="2:11" ht="16.5" x14ac:dyDescent="0.3">
      <c r="J159" s="61"/>
      <c r="K159" s="61"/>
    </row>
    <row r="160" spans="2:11" ht="16.5" x14ac:dyDescent="0.3">
      <c r="J160" s="61"/>
      <c r="K160" s="61"/>
    </row>
    <row r="161" spans="4:11" ht="16.5" x14ac:dyDescent="0.3">
      <c r="J161" s="61"/>
      <c r="K161" s="61"/>
    </row>
    <row r="163" spans="4:11" ht="15" x14ac:dyDescent="0.25">
      <c r="D163" s="250" t="s">
        <v>158</v>
      </c>
      <c r="E163" s="250" t="s">
        <v>159</v>
      </c>
      <c r="F163" s="250" t="s">
        <v>45</v>
      </c>
      <c r="G163" s="250"/>
      <c r="H163" s="250" t="s">
        <v>170</v>
      </c>
      <c r="I163" s="250"/>
      <c r="J163" s="250"/>
      <c r="K163" s="250"/>
    </row>
    <row r="164" spans="4:11" ht="15" x14ac:dyDescent="0.25">
      <c r="D164" s="250"/>
      <c r="E164" s="250"/>
      <c r="F164" s="250"/>
      <c r="G164" s="250"/>
      <c r="H164" s="250" t="s">
        <v>169</v>
      </c>
      <c r="I164" s="250"/>
      <c r="J164" s="250" t="s">
        <v>168</v>
      </c>
      <c r="K164" s="250"/>
    </row>
    <row r="165" spans="4:11" ht="15" x14ac:dyDescent="0.25">
      <c r="D165" s="250"/>
      <c r="E165" s="250"/>
      <c r="F165" s="123" t="s">
        <v>3</v>
      </c>
      <c r="G165" s="123" t="s">
        <v>5</v>
      </c>
      <c r="H165" s="123" t="s">
        <v>3</v>
      </c>
      <c r="I165" s="123" t="s">
        <v>5</v>
      </c>
      <c r="J165" s="123" t="s">
        <v>3</v>
      </c>
      <c r="K165" s="123" t="s">
        <v>5</v>
      </c>
    </row>
    <row r="166" spans="4:11" ht="17.25" x14ac:dyDescent="0.25">
      <c r="D166" s="130" t="s">
        <v>160</v>
      </c>
      <c r="E166" s="130">
        <f>B140</f>
        <v>30000</v>
      </c>
      <c r="F166" s="131">
        <f ca="1">G166*E166*Parametros!$C$6</f>
        <v>133716.33674030768</v>
      </c>
      <c r="G166" s="132">
        <f ca="1">C140</f>
        <v>0.5571514030846153</v>
      </c>
      <c r="H166" s="131">
        <f ca="1">I166*E166*Parametros!$C$17</f>
        <v>98872.760746932545</v>
      </c>
      <c r="I166" s="132">
        <f ca="1">D154</f>
        <v>0.4119698364455523</v>
      </c>
      <c r="J166" s="131">
        <f ca="1">K166*E166*Parametros!$C$17</f>
        <v>86872.760746932574</v>
      </c>
      <c r="K166" s="132">
        <f ca="1">D140</f>
        <v>0.36196983644555236</v>
      </c>
    </row>
    <row r="167" spans="4:11" ht="17.25" x14ac:dyDescent="0.25">
      <c r="D167" s="127" t="s">
        <v>161</v>
      </c>
      <c r="E167" s="127">
        <f>B141</f>
        <v>80000</v>
      </c>
      <c r="F167" s="128">
        <f ca="1">G167*E167*Parametros!$C$6</f>
        <v>261918.19666977995</v>
      </c>
      <c r="G167" s="129">
        <f ca="1">C141</f>
        <v>0.40924718229653118</v>
      </c>
      <c r="H167" s="128">
        <f ca="1">I167*E167*Parametros!$C$17</f>
        <v>155845.5039277972</v>
      </c>
      <c r="I167" s="129">
        <f ca="1">D155</f>
        <v>0.2435085998871831</v>
      </c>
      <c r="J167" s="128">
        <f ca="1">K167*E167*Parametros!$C$17</f>
        <v>143845.5039277972</v>
      </c>
      <c r="K167" s="129">
        <f ca="1">D141</f>
        <v>0.22475859988718311</v>
      </c>
    </row>
    <row r="168" spans="4:11" ht="17.25" x14ac:dyDescent="0.25">
      <c r="D168" s="124" t="s">
        <v>162</v>
      </c>
      <c r="E168" s="124">
        <f>B142</f>
        <v>130000</v>
      </c>
      <c r="F168" s="125">
        <f ca="1">G168*E168*Parametros!$C$6</f>
        <v>390120.0565992521</v>
      </c>
      <c r="G168" s="126">
        <f ca="1">C142</f>
        <v>0.37511543903774242</v>
      </c>
      <c r="H168" s="125">
        <f ca="1">I168*E168*Parametros!$C$17</f>
        <v>212818.2471086618</v>
      </c>
      <c r="I168" s="126">
        <f ca="1">D156</f>
        <v>0.2046329299121748</v>
      </c>
      <c r="J168" s="125">
        <f ca="1">K168*E168*Parametros!$C$17</f>
        <v>200818.24710866177</v>
      </c>
      <c r="K168" s="126">
        <f ca="1">D142</f>
        <v>0.19309446837371325</v>
      </c>
    </row>
  </sheetData>
  <mergeCells count="38">
    <mergeCell ref="A1:F1"/>
    <mergeCell ref="A6:A12"/>
    <mergeCell ref="A13:A14"/>
    <mergeCell ref="A4:A5"/>
    <mergeCell ref="A27:B27"/>
    <mergeCell ref="A21:B21"/>
    <mergeCell ref="A22:B22"/>
    <mergeCell ref="A23:B23"/>
    <mergeCell ref="A25:B25"/>
    <mergeCell ref="A26:B26"/>
    <mergeCell ref="A29:B29"/>
    <mergeCell ref="A34:F34"/>
    <mergeCell ref="A30:B30"/>
    <mergeCell ref="A37:A39"/>
    <mergeCell ref="A40:A46"/>
    <mergeCell ref="A47:A48"/>
    <mergeCell ref="A97:A99"/>
    <mergeCell ref="A100:A106"/>
    <mergeCell ref="A107:A108"/>
    <mergeCell ref="A122:A124"/>
    <mergeCell ref="A113:B113"/>
    <mergeCell ref="A94:F94"/>
    <mergeCell ref="A119:F119"/>
    <mergeCell ref="A115:B115"/>
    <mergeCell ref="A116:B116"/>
    <mergeCell ref="A117:B117"/>
    <mergeCell ref="A111:B111"/>
    <mergeCell ref="A112:B112"/>
    <mergeCell ref="H163:K163"/>
    <mergeCell ref="J164:K164"/>
    <mergeCell ref="H164:I164"/>
    <mergeCell ref="A125:A131"/>
    <mergeCell ref="A132:A133"/>
    <mergeCell ref="B138:F138"/>
    <mergeCell ref="B152:F152"/>
    <mergeCell ref="D163:D165"/>
    <mergeCell ref="E163:E165"/>
    <mergeCell ref="F163:G164"/>
  </mergeCells>
  <pageMargins left="0.7" right="0.7" top="0.75" bottom="0.75" header="0.3" footer="0.3"/>
  <pageSetup orientation="portrait" r:id="rId1"/>
  <ignoredErrors>
    <ignoredError sqref="D99:D100 D9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5A1B-8D10-4E24-9F3C-99F1FF84C9B7}">
  <dimension ref="A1:AU88"/>
  <sheetViews>
    <sheetView workbookViewId="0">
      <selection activeCell="E7" sqref="E7:E9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9" t="s">
        <v>222</v>
      </c>
      <c r="B1" s="259"/>
      <c r="C1" s="175"/>
      <c r="D1" s="176"/>
      <c r="E1" s="175"/>
      <c r="F1" s="175"/>
      <c r="G1" s="177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8.75" x14ac:dyDescent="0.3">
      <c r="A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6" ht="15" x14ac:dyDescent="0.25">
      <c r="A3" s="260" t="s">
        <v>217</v>
      </c>
      <c r="B3" s="260"/>
      <c r="C3" s="180">
        <v>0</v>
      </c>
    </row>
    <row r="4" spans="1:36" ht="15" x14ac:dyDescent="0.25">
      <c r="A4" s="261" t="s">
        <v>223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181"/>
    </row>
    <row r="5" spans="1:36" ht="15" x14ac:dyDescent="0.25">
      <c r="A5" s="97"/>
      <c r="E5" s="182">
        <v>0</v>
      </c>
      <c r="F5" s="182">
        <v>1</v>
      </c>
      <c r="G5" s="182">
        <v>2</v>
      </c>
      <c r="H5" s="182">
        <v>3</v>
      </c>
      <c r="I5" s="182">
        <v>4</v>
      </c>
      <c r="J5" s="182">
        <v>5</v>
      </c>
      <c r="K5" s="182">
        <v>6</v>
      </c>
      <c r="L5" s="182">
        <v>7</v>
      </c>
      <c r="M5" s="182">
        <v>8</v>
      </c>
      <c r="N5" s="182">
        <v>9</v>
      </c>
      <c r="O5" s="182">
        <v>10</v>
      </c>
      <c r="P5" s="182">
        <v>11</v>
      </c>
      <c r="Q5" s="182">
        <v>12</v>
      </c>
      <c r="R5" s="182">
        <v>13</v>
      </c>
      <c r="S5" s="182">
        <v>14</v>
      </c>
      <c r="T5" s="182">
        <v>15</v>
      </c>
      <c r="U5" s="182">
        <v>16</v>
      </c>
      <c r="V5" s="182">
        <v>17</v>
      </c>
      <c r="W5" s="182">
        <v>18</v>
      </c>
      <c r="X5" s="182">
        <v>19</v>
      </c>
      <c r="Y5" s="182">
        <v>20</v>
      </c>
      <c r="Z5" s="182">
        <v>21</v>
      </c>
      <c r="AA5" s="182">
        <v>22</v>
      </c>
      <c r="AB5" s="182">
        <v>23</v>
      </c>
      <c r="AC5" s="182">
        <v>24</v>
      </c>
      <c r="AD5" s="182">
        <v>25</v>
      </c>
      <c r="AE5" s="182">
        <v>26</v>
      </c>
      <c r="AF5" s="182">
        <v>27</v>
      </c>
      <c r="AG5" s="182">
        <v>28</v>
      </c>
      <c r="AJ5" s="183"/>
    </row>
    <row r="6" spans="1:36" ht="15" x14ac:dyDescent="0.25">
      <c r="A6" s="262" t="s">
        <v>218</v>
      </c>
      <c r="B6" s="262"/>
      <c r="C6" s="181" t="s">
        <v>3</v>
      </c>
      <c r="E6" s="184">
        <v>2022</v>
      </c>
      <c r="F6" s="184">
        <f>+E6+1</f>
        <v>2023</v>
      </c>
      <c r="G6" s="185">
        <f t="shared" ref="G6:AG6" si="0">+F6+1</f>
        <v>2024</v>
      </c>
      <c r="H6" s="185">
        <f t="shared" si="0"/>
        <v>2025</v>
      </c>
      <c r="I6" s="185">
        <f t="shared" si="0"/>
        <v>2026</v>
      </c>
      <c r="J6" s="185">
        <f t="shared" si="0"/>
        <v>2027</v>
      </c>
      <c r="K6" s="185">
        <f t="shared" si="0"/>
        <v>2028</v>
      </c>
      <c r="L6" s="185">
        <f t="shared" si="0"/>
        <v>2029</v>
      </c>
      <c r="M6" s="185">
        <f t="shared" si="0"/>
        <v>2030</v>
      </c>
      <c r="N6" s="185">
        <f t="shared" si="0"/>
        <v>2031</v>
      </c>
      <c r="O6" s="185">
        <f t="shared" si="0"/>
        <v>2032</v>
      </c>
      <c r="P6" s="185">
        <f t="shared" si="0"/>
        <v>2033</v>
      </c>
      <c r="Q6" s="185">
        <f t="shared" si="0"/>
        <v>2034</v>
      </c>
      <c r="R6" s="185">
        <f t="shared" si="0"/>
        <v>2035</v>
      </c>
      <c r="S6" s="185">
        <f t="shared" si="0"/>
        <v>2036</v>
      </c>
      <c r="T6" s="185">
        <f t="shared" si="0"/>
        <v>2037</v>
      </c>
      <c r="U6" s="185">
        <f t="shared" si="0"/>
        <v>2038</v>
      </c>
      <c r="V6" s="185">
        <f t="shared" si="0"/>
        <v>2039</v>
      </c>
      <c r="W6" s="185">
        <f t="shared" si="0"/>
        <v>2040</v>
      </c>
      <c r="X6" s="185">
        <f t="shared" si="0"/>
        <v>2041</v>
      </c>
      <c r="Y6" s="185">
        <f t="shared" si="0"/>
        <v>2042</v>
      </c>
      <c r="Z6" s="185">
        <f t="shared" si="0"/>
        <v>2043</v>
      </c>
      <c r="AA6" s="185">
        <f t="shared" si="0"/>
        <v>2044</v>
      </c>
      <c r="AB6" s="185">
        <f t="shared" si="0"/>
        <v>2045</v>
      </c>
      <c r="AC6" s="185">
        <f t="shared" si="0"/>
        <v>2046</v>
      </c>
      <c r="AD6" s="185">
        <f t="shared" si="0"/>
        <v>2047</v>
      </c>
      <c r="AE6" s="185">
        <f t="shared" si="0"/>
        <v>2048</v>
      </c>
      <c r="AF6" s="185">
        <f t="shared" si="0"/>
        <v>2049</v>
      </c>
      <c r="AG6" s="185">
        <f t="shared" si="0"/>
        <v>2050</v>
      </c>
      <c r="AI6" s="185" t="s">
        <v>219</v>
      </c>
      <c r="AJ6" s="183"/>
    </row>
    <row r="7" spans="1:36" ht="15" x14ac:dyDescent="0.25">
      <c r="A7" s="251" t="s">
        <v>18</v>
      </c>
      <c r="B7" s="29" t="s">
        <v>189</v>
      </c>
      <c r="C7" s="186"/>
      <c r="E7" s="187">
        <f>CTP!C4</f>
        <v>9500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188">
        <v>0</v>
      </c>
      <c r="AD7" s="188">
        <v>0</v>
      </c>
      <c r="AE7" s="188">
        <v>0</v>
      </c>
      <c r="AF7" s="188">
        <v>0</v>
      </c>
      <c r="AG7" s="189">
        <v>0</v>
      </c>
      <c r="AH7" s="183"/>
      <c r="AI7" s="190">
        <f>+SUM(E7:AG7)</f>
        <v>9500</v>
      </c>
      <c r="AJ7" s="183"/>
    </row>
    <row r="8" spans="1:36" ht="15" x14ac:dyDescent="0.25">
      <c r="A8" s="253"/>
      <c r="B8" s="113" t="s">
        <v>110</v>
      </c>
      <c r="C8" s="186"/>
      <c r="E8" s="195">
        <f>CTP!C5</f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196">
        <v>0</v>
      </c>
      <c r="AA8" s="196">
        <v>0</v>
      </c>
      <c r="AB8" s="196">
        <v>0</v>
      </c>
      <c r="AC8" s="196">
        <v>0</v>
      </c>
      <c r="AD8" s="196">
        <v>0</v>
      </c>
      <c r="AE8" s="196">
        <v>0</v>
      </c>
      <c r="AF8" s="196">
        <v>0</v>
      </c>
      <c r="AG8" s="197">
        <v>0</v>
      </c>
      <c r="AH8" s="183"/>
      <c r="AI8" s="198">
        <f t="shared" ref="AI8:AI16" si="1">+SUM(E8:AG8)</f>
        <v>0</v>
      </c>
      <c r="AJ8" s="183"/>
    </row>
    <row r="9" spans="1:36" ht="15" x14ac:dyDescent="0.25">
      <c r="A9" s="251" t="s">
        <v>19</v>
      </c>
      <c r="B9" s="29" t="s">
        <v>95</v>
      </c>
      <c r="C9" s="186"/>
      <c r="E9" s="187">
        <f>CTP!C6</f>
        <v>475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9">
        <v>0</v>
      </c>
      <c r="AH9" s="183"/>
      <c r="AI9" s="190">
        <f t="shared" si="1"/>
        <v>475</v>
      </c>
      <c r="AJ9" s="183"/>
    </row>
    <row r="10" spans="1:36" ht="15" x14ac:dyDescent="0.25">
      <c r="A10" s="252"/>
      <c r="B10" s="116" t="s">
        <v>133</v>
      </c>
      <c r="C10" s="186"/>
      <c r="E10" s="191">
        <f>CTP!C7</f>
        <v>2185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3">
        <v>0</v>
      </c>
      <c r="AH10" s="183"/>
      <c r="AI10" s="194">
        <f t="shared" si="1"/>
        <v>2185</v>
      </c>
      <c r="AJ10" s="183"/>
    </row>
    <row r="11" spans="1:36" ht="15" x14ac:dyDescent="0.25">
      <c r="A11" s="252"/>
      <c r="B11" s="116" t="s">
        <v>96</v>
      </c>
      <c r="C11" s="186"/>
      <c r="E11" s="191">
        <f>CTP!C8</f>
        <v>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f>[1]CTP!$C$7</f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3">
        <v>0</v>
      </c>
      <c r="AH11" s="183"/>
      <c r="AI11" s="194">
        <f t="shared" si="1"/>
        <v>0</v>
      </c>
      <c r="AJ11" s="183"/>
    </row>
    <row r="12" spans="1:36" ht="15" x14ac:dyDescent="0.25">
      <c r="A12" s="252"/>
      <c r="B12" s="113" t="s">
        <v>134</v>
      </c>
      <c r="C12" s="186"/>
      <c r="E12" s="191">
        <f>CTP!C9</f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3">
        <v>0</v>
      </c>
      <c r="AH12" s="183"/>
      <c r="AI12" s="194">
        <f t="shared" si="1"/>
        <v>0</v>
      </c>
      <c r="AJ12" s="183"/>
    </row>
    <row r="13" spans="1:36" ht="15" x14ac:dyDescent="0.25">
      <c r="A13" s="252"/>
      <c r="B13" s="113" t="s">
        <v>98</v>
      </c>
      <c r="C13" s="186"/>
      <c r="E13" s="191">
        <f>CTP!C10</f>
        <v>40000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3">
        <v>0</v>
      </c>
      <c r="AH13" s="183"/>
      <c r="AI13" s="194">
        <f t="shared" si="1"/>
        <v>40000</v>
      </c>
      <c r="AJ13" s="183"/>
    </row>
    <row r="14" spans="1:36" ht="15" x14ac:dyDescent="0.25">
      <c r="A14" s="252"/>
      <c r="B14" s="113" t="s">
        <v>135</v>
      </c>
      <c r="C14" s="186"/>
      <c r="E14" s="191">
        <f>Parametros!$C$120</f>
        <v>240</v>
      </c>
      <c r="F14" s="192">
        <f>Parametros!$C$120</f>
        <v>240</v>
      </c>
      <c r="G14" s="192">
        <f>Parametros!$C$120</f>
        <v>240</v>
      </c>
      <c r="H14" s="192">
        <f>Parametros!$C$120</f>
        <v>240</v>
      </c>
      <c r="I14" s="192">
        <f>Parametros!$C$120</f>
        <v>240</v>
      </c>
      <c r="J14" s="192">
        <f>Parametros!$C$120</f>
        <v>240</v>
      </c>
      <c r="K14" s="192">
        <f>Parametros!$C$120</f>
        <v>240</v>
      </c>
      <c r="L14" s="192">
        <f>Parametros!$C$120</f>
        <v>240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3">
        <v>0</v>
      </c>
      <c r="AH14" s="183"/>
      <c r="AI14" s="194">
        <f t="shared" si="1"/>
        <v>1920</v>
      </c>
      <c r="AJ14" s="183"/>
    </row>
    <row r="15" spans="1:36" ht="15" x14ac:dyDescent="0.25">
      <c r="A15" s="252"/>
      <c r="B15" s="30" t="s">
        <v>118</v>
      </c>
      <c r="C15" s="186"/>
      <c r="E15" s="225">
        <f>-IPMT(Parametros!$C$54,1,Parametros!$C$53,(SUM(CTP!$C$4,CTP!$C$6:$C$9))*Parametros!$C$52)</f>
        <v>851.2</v>
      </c>
      <c r="F15" s="224">
        <f>-IPMT(Parametros!$C$54,2,Parametros!$C$53,(SUM(CTP!$C$4,CTP!$C$6:$C$9))*Parametros!$C$52)</f>
        <v>711.7755843475129</v>
      </c>
      <c r="G15" s="224">
        <f>-IPMT(Parametros!$C$54,3,Parametros!$C$53,(SUM(CTP!$C$4,CTP!$C$6:$C$9))*Parametros!$C$52)</f>
        <v>558.40872712977671</v>
      </c>
      <c r="H15" s="224">
        <f>-IPMT(Parametros!$C$54,4,Parametros!$C$53,(SUM(CTP!$C$4,CTP!$C$6:$C$9))*Parametros!$C$52)</f>
        <v>389.70518419026718</v>
      </c>
      <c r="I15" s="224">
        <f>-IPMT(Parametros!$C$54,5,Parametros!$C$53,(SUM(CTP!$C$4,CTP!$C$6:$C$9))*Parametros!$C$52)</f>
        <v>204.13128695680663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  <c r="AB15" s="196">
        <v>0</v>
      </c>
      <c r="AC15" s="196">
        <v>0</v>
      </c>
      <c r="AD15" s="196">
        <v>0</v>
      </c>
      <c r="AE15" s="196">
        <v>0</v>
      </c>
      <c r="AF15" s="196">
        <v>0</v>
      </c>
      <c r="AG15" s="197">
        <v>0</v>
      </c>
      <c r="AH15" s="183"/>
      <c r="AI15" s="198">
        <f t="shared" si="1"/>
        <v>2715.2207826243634</v>
      </c>
      <c r="AJ15" s="183"/>
    </row>
    <row r="16" spans="1:36" ht="15" x14ac:dyDescent="0.25">
      <c r="A16" s="251" t="s">
        <v>20</v>
      </c>
      <c r="B16" s="113" t="s">
        <v>54</v>
      </c>
      <c r="C16" s="186"/>
      <c r="E16" s="187">
        <f>(Parametros!$C$8+Parametros!$C$9+Parametros!$C$10)*Parametros!$C$41</f>
        <v>13266.568596063938</v>
      </c>
      <c r="F16" s="188">
        <f>(Parametros!$C$8+Parametros!$C$9+Parametros!$C$10)*Parametros!$C$41</f>
        <v>13266.568596063938</v>
      </c>
      <c r="G16" s="188">
        <f>(Parametros!$C$8+Parametros!$C$9+Parametros!$C$10)*Parametros!$C$41</f>
        <v>13266.568596063938</v>
      </c>
      <c r="H16" s="188">
        <f>(Parametros!$C$8+Parametros!$C$9+Parametros!$C$10)*Parametros!$C$41</f>
        <v>13266.568596063938</v>
      </c>
      <c r="I16" s="188">
        <f>(Parametros!$C$8+Parametros!$C$9+Parametros!$C$10)*Parametros!$C$41</f>
        <v>13266.568596063938</v>
      </c>
      <c r="J16" s="188">
        <f>(Parametros!$C$8+Parametros!$C$9+Parametros!$C$10)*Parametros!$C$41</f>
        <v>13266.568596063938</v>
      </c>
      <c r="K16" s="188">
        <f>(Parametros!$C$8+Parametros!$C$9+Parametros!$C$10)*Parametros!$C$41</f>
        <v>13266.568596063938</v>
      </c>
      <c r="L16" s="188">
        <f>(Parametros!$C$8+Parametros!$C$9+Parametros!$C$10)*Parametros!$C$41</f>
        <v>13266.568596063938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9">
        <v>0</v>
      </c>
      <c r="AH16" s="183"/>
      <c r="AI16" s="190">
        <f t="shared" si="1"/>
        <v>106132.54876851151</v>
      </c>
      <c r="AJ16" s="183"/>
    </row>
    <row r="17" spans="1:36" ht="15" x14ac:dyDescent="0.25">
      <c r="A17" s="253"/>
      <c r="B17" s="30" t="s">
        <v>119</v>
      </c>
      <c r="C17" s="186"/>
      <c r="E17" s="195">
        <f>Parametros!H80</f>
        <v>11676.203389830504</v>
      </c>
      <c r="F17" s="196">
        <f>Parametros!H81</f>
        <v>11676.203389830504</v>
      </c>
      <c r="G17" s="196">
        <f>Parametros!H82</f>
        <v>11676.203389830504</v>
      </c>
      <c r="H17" s="196">
        <f>Parametros!H83</f>
        <v>11676.203389830504</v>
      </c>
      <c r="I17" s="196">
        <f>Parametros!H84</f>
        <v>11676.203389830504</v>
      </c>
      <c r="J17" s="196">
        <f>Parametros!H85</f>
        <v>11676.203389830504</v>
      </c>
      <c r="K17" s="196">
        <f>Parametros!H86</f>
        <v>11676.203389830504</v>
      </c>
      <c r="L17" s="196">
        <f>Parametros!H87</f>
        <v>11676.203389830504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  <c r="AC17" s="196">
        <v>0</v>
      </c>
      <c r="AD17" s="196">
        <v>0</v>
      </c>
      <c r="AE17" s="196">
        <v>0</v>
      </c>
      <c r="AF17" s="196">
        <v>0</v>
      </c>
      <c r="AG17" s="197">
        <v>0</v>
      </c>
      <c r="AH17" s="183"/>
      <c r="AI17" s="194">
        <f>+SUM(E17:AG17)</f>
        <v>93409.627118644043</v>
      </c>
      <c r="AJ17" s="183"/>
    </row>
    <row r="18" spans="1:36" ht="15" x14ac:dyDescent="0.25">
      <c r="A18" s="70" t="s">
        <v>140</v>
      </c>
      <c r="B18" s="71" t="s">
        <v>121</v>
      </c>
      <c r="C18" s="186"/>
      <c r="E18" s="226">
        <f>Parametros!$C$134*Parametros!$C$41/(10^6)*Parametros!$C$136</f>
        <v>697.6</v>
      </c>
      <c r="F18" s="227">
        <f>Parametros!$C$134*Parametros!$C$41/(10^6)*Parametros!$C$136</f>
        <v>697.6</v>
      </c>
      <c r="G18" s="227">
        <f>Parametros!$C$134*Parametros!$C$41/(10^6)*Parametros!$C$136</f>
        <v>697.6</v>
      </c>
      <c r="H18" s="227">
        <f>Parametros!$C$134*Parametros!$C$41/(10^6)*Parametros!$C$136</f>
        <v>697.6</v>
      </c>
      <c r="I18" s="227">
        <f>Parametros!$C$134*Parametros!$C$41/(10^6)*Parametros!$C$136</f>
        <v>697.6</v>
      </c>
      <c r="J18" s="199">
        <f>Parametros!$C$134*Parametros!$C$41/(10^6)*Parametros!$C$136</f>
        <v>697.6</v>
      </c>
      <c r="K18" s="199">
        <f>Parametros!$C$134*Parametros!$C$41/(10^6)*Parametros!$C$136</f>
        <v>697.6</v>
      </c>
      <c r="L18" s="199">
        <f>Parametros!$C$134*Parametros!$C$41/(10^6)*Parametros!$C$136</f>
        <v>697.6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  <c r="AG18" s="200">
        <v>0</v>
      </c>
      <c r="AH18" s="183"/>
      <c r="AI18" s="198">
        <f>+SUM(E18:AG18)</f>
        <v>5580.8000000000011</v>
      </c>
      <c r="AJ18" s="183"/>
    </row>
    <row r="19" spans="1:36" ht="15" x14ac:dyDescent="0.25">
      <c r="B19" s="181" t="s">
        <v>219</v>
      </c>
      <c r="C19" s="186"/>
      <c r="E19" s="201">
        <f t="shared" ref="E19:AG19" si="2">SUM(E7:E18)</f>
        <v>78891.57198589445</v>
      </c>
      <c r="F19" s="201">
        <f t="shared" si="2"/>
        <v>26592.147570241956</v>
      </c>
      <c r="G19" s="201">
        <f t="shared" si="2"/>
        <v>26438.780713024214</v>
      </c>
      <c r="H19" s="201">
        <f t="shared" si="2"/>
        <v>26270.077170084707</v>
      </c>
      <c r="I19" s="201">
        <f t="shared" si="2"/>
        <v>26084.503272851245</v>
      </c>
      <c r="J19" s="201">
        <f t="shared" si="2"/>
        <v>25880.371985894439</v>
      </c>
      <c r="K19" s="201">
        <f t="shared" si="2"/>
        <v>25880.371985894439</v>
      </c>
      <c r="L19" s="201">
        <f t="shared" si="2"/>
        <v>25880.371985894439</v>
      </c>
      <c r="M19" s="201">
        <f t="shared" si="2"/>
        <v>0</v>
      </c>
      <c r="N19" s="201">
        <f t="shared" si="2"/>
        <v>0</v>
      </c>
      <c r="O19" s="201">
        <f t="shared" si="2"/>
        <v>0</v>
      </c>
      <c r="P19" s="201">
        <f t="shared" si="2"/>
        <v>0</v>
      </c>
      <c r="Q19" s="201">
        <f t="shared" si="2"/>
        <v>0</v>
      </c>
      <c r="R19" s="201">
        <f t="shared" si="2"/>
        <v>0</v>
      </c>
      <c r="S19" s="201">
        <f t="shared" si="2"/>
        <v>0</v>
      </c>
      <c r="T19" s="201">
        <f t="shared" si="2"/>
        <v>0</v>
      </c>
      <c r="U19" s="201">
        <f t="shared" si="2"/>
        <v>0</v>
      </c>
      <c r="V19" s="201">
        <f t="shared" si="2"/>
        <v>0</v>
      </c>
      <c r="W19" s="201">
        <f t="shared" si="2"/>
        <v>0</v>
      </c>
      <c r="X19" s="201">
        <f t="shared" si="2"/>
        <v>0</v>
      </c>
      <c r="Y19" s="201">
        <f t="shared" si="2"/>
        <v>0</v>
      </c>
      <c r="Z19" s="201">
        <f t="shared" si="2"/>
        <v>0</v>
      </c>
      <c r="AA19" s="201">
        <f t="shared" si="2"/>
        <v>0</v>
      </c>
      <c r="AB19" s="201">
        <f t="shared" si="2"/>
        <v>0</v>
      </c>
      <c r="AC19" s="201">
        <f t="shared" si="2"/>
        <v>0</v>
      </c>
      <c r="AD19" s="201">
        <f t="shared" si="2"/>
        <v>0</v>
      </c>
      <c r="AE19" s="201">
        <f t="shared" si="2"/>
        <v>0</v>
      </c>
      <c r="AF19" s="201">
        <f t="shared" si="2"/>
        <v>0</v>
      </c>
      <c r="AG19" s="201">
        <f t="shared" si="2"/>
        <v>0</v>
      </c>
      <c r="AH19" s="183"/>
      <c r="AI19" s="202">
        <f>+SUM(E19:AG19)</f>
        <v>261918.19666977989</v>
      </c>
      <c r="AJ19" s="183"/>
    </row>
    <row r="20" spans="1:36" ht="15" x14ac:dyDescent="0.25">
      <c r="A20" s="183"/>
      <c r="C20" s="20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</row>
    <row r="21" spans="1:36" ht="15" x14ac:dyDescent="0.25">
      <c r="C21" s="186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183"/>
      <c r="AI21" s="183"/>
      <c r="AJ21" s="183"/>
    </row>
    <row r="22" spans="1:36" ht="15" x14ac:dyDescent="0.25">
      <c r="A22" s="181" t="s">
        <v>220</v>
      </c>
      <c r="E22" s="205">
        <f t="shared" ref="E22:AG22" si="3">1/(1+$C$3)^E5</f>
        <v>1</v>
      </c>
      <c r="F22" s="205">
        <f t="shared" si="3"/>
        <v>1</v>
      </c>
      <c r="G22" s="205">
        <f t="shared" si="3"/>
        <v>1</v>
      </c>
      <c r="H22" s="205">
        <f t="shared" si="3"/>
        <v>1</v>
      </c>
      <c r="I22" s="205">
        <f t="shared" si="3"/>
        <v>1</v>
      </c>
      <c r="J22" s="205">
        <f t="shared" si="3"/>
        <v>1</v>
      </c>
      <c r="K22" s="205">
        <f t="shared" si="3"/>
        <v>1</v>
      </c>
      <c r="L22" s="205">
        <f t="shared" si="3"/>
        <v>1</v>
      </c>
      <c r="M22" s="205">
        <f t="shared" si="3"/>
        <v>1</v>
      </c>
      <c r="N22" s="205">
        <f t="shared" si="3"/>
        <v>1</v>
      </c>
      <c r="O22" s="205">
        <f t="shared" si="3"/>
        <v>1</v>
      </c>
      <c r="P22" s="205">
        <f t="shared" si="3"/>
        <v>1</v>
      </c>
      <c r="Q22" s="205">
        <f t="shared" si="3"/>
        <v>1</v>
      </c>
      <c r="R22" s="205">
        <f t="shared" si="3"/>
        <v>1</v>
      </c>
      <c r="S22" s="205">
        <f t="shared" si="3"/>
        <v>1</v>
      </c>
      <c r="T22" s="205">
        <f t="shared" si="3"/>
        <v>1</v>
      </c>
      <c r="U22" s="205">
        <f t="shared" si="3"/>
        <v>1</v>
      </c>
      <c r="V22" s="205">
        <f t="shared" si="3"/>
        <v>1</v>
      </c>
      <c r="W22" s="205">
        <f t="shared" si="3"/>
        <v>1</v>
      </c>
      <c r="X22" s="205">
        <f t="shared" si="3"/>
        <v>1</v>
      </c>
      <c r="Y22" s="205">
        <f t="shared" si="3"/>
        <v>1</v>
      </c>
      <c r="Z22" s="205">
        <f t="shared" si="3"/>
        <v>1</v>
      </c>
      <c r="AA22" s="205">
        <f t="shared" si="3"/>
        <v>1</v>
      </c>
      <c r="AB22" s="205">
        <f t="shared" si="3"/>
        <v>1</v>
      </c>
      <c r="AC22" s="205">
        <f t="shared" si="3"/>
        <v>1</v>
      </c>
      <c r="AD22" s="205">
        <f t="shared" si="3"/>
        <v>1</v>
      </c>
      <c r="AE22" s="205">
        <f t="shared" si="3"/>
        <v>1</v>
      </c>
      <c r="AF22" s="205">
        <f t="shared" si="3"/>
        <v>1</v>
      </c>
      <c r="AG22" s="205">
        <f t="shared" si="3"/>
        <v>1</v>
      </c>
      <c r="AH22" s="183"/>
      <c r="AI22" s="183"/>
      <c r="AJ22" s="183"/>
    </row>
    <row r="23" spans="1:36" ht="15" x14ac:dyDescent="0.25">
      <c r="C23" s="206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183"/>
      <c r="AI23" s="183"/>
      <c r="AJ23" s="183"/>
    </row>
    <row r="24" spans="1:36" ht="15" x14ac:dyDescent="0.25">
      <c r="A24" s="257" t="s">
        <v>221</v>
      </c>
      <c r="B24" s="257"/>
      <c r="C24" s="181" t="s">
        <v>3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</row>
    <row r="25" spans="1:36" ht="15" x14ac:dyDescent="0.25">
      <c r="A25" s="251" t="s">
        <v>18</v>
      </c>
      <c r="B25" s="29" t="s">
        <v>189</v>
      </c>
      <c r="C25" s="186"/>
      <c r="E25" s="207">
        <f t="shared" ref="E25:AG25" si="4">+E7*E$22</f>
        <v>9500</v>
      </c>
      <c r="F25" s="208">
        <f t="shared" si="4"/>
        <v>0</v>
      </c>
      <c r="G25" s="208">
        <f t="shared" si="4"/>
        <v>0</v>
      </c>
      <c r="H25" s="208">
        <f t="shared" si="4"/>
        <v>0</v>
      </c>
      <c r="I25" s="208">
        <f t="shared" si="4"/>
        <v>0</v>
      </c>
      <c r="J25" s="208">
        <f t="shared" si="4"/>
        <v>0</v>
      </c>
      <c r="K25" s="208">
        <f t="shared" si="4"/>
        <v>0</v>
      </c>
      <c r="L25" s="208">
        <f t="shared" si="4"/>
        <v>0</v>
      </c>
      <c r="M25" s="208">
        <f t="shared" si="4"/>
        <v>0</v>
      </c>
      <c r="N25" s="208">
        <f t="shared" si="4"/>
        <v>0</v>
      </c>
      <c r="O25" s="208">
        <f t="shared" si="4"/>
        <v>0</v>
      </c>
      <c r="P25" s="208">
        <f t="shared" si="4"/>
        <v>0</v>
      </c>
      <c r="Q25" s="208">
        <f t="shared" si="4"/>
        <v>0</v>
      </c>
      <c r="R25" s="208">
        <f t="shared" si="4"/>
        <v>0</v>
      </c>
      <c r="S25" s="208">
        <f t="shared" si="4"/>
        <v>0</v>
      </c>
      <c r="T25" s="208">
        <f t="shared" si="4"/>
        <v>0</v>
      </c>
      <c r="U25" s="208">
        <f t="shared" si="4"/>
        <v>0</v>
      </c>
      <c r="V25" s="208">
        <f t="shared" si="4"/>
        <v>0</v>
      </c>
      <c r="W25" s="208">
        <f t="shared" si="4"/>
        <v>0</v>
      </c>
      <c r="X25" s="208">
        <f t="shared" si="4"/>
        <v>0</v>
      </c>
      <c r="Y25" s="208">
        <f t="shared" si="4"/>
        <v>0</v>
      </c>
      <c r="Z25" s="208">
        <f t="shared" si="4"/>
        <v>0</v>
      </c>
      <c r="AA25" s="208">
        <f t="shared" si="4"/>
        <v>0</v>
      </c>
      <c r="AB25" s="208">
        <f t="shared" si="4"/>
        <v>0</v>
      </c>
      <c r="AC25" s="208">
        <f t="shared" si="4"/>
        <v>0</v>
      </c>
      <c r="AD25" s="208">
        <f t="shared" si="4"/>
        <v>0</v>
      </c>
      <c r="AE25" s="208">
        <f t="shared" si="4"/>
        <v>0</v>
      </c>
      <c r="AF25" s="208">
        <f t="shared" si="4"/>
        <v>0</v>
      </c>
      <c r="AG25" s="209">
        <f t="shared" si="4"/>
        <v>0</v>
      </c>
      <c r="AH25" s="183"/>
      <c r="AI25" s="210">
        <f t="shared" ref="AI25:AI36" si="5">+SUM(E25:AG25)</f>
        <v>9500</v>
      </c>
      <c r="AJ25" s="183"/>
    </row>
    <row r="26" spans="1:36" ht="15" x14ac:dyDescent="0.25">
      <c r="A26" s="253"/>
      <c r="B26" s="113" t="s">
        <v>110</v>
      </c>
      <c r="C26" s="186"/>
      <c r="E26" s="215">
        <f t="shared" ref="E26:AG26" si="6">+E8*E$22</f>
        <v>0</v>
      </c>
      <c r="F26" s="216">
        <f t="shared" si="6"/>
        <v>0</v>
      </c>
      <c r="G26" s="216">
        <f t="shared" si="6"/>
        <v>0</v>
      </c>
      <c r="H26" s="216">
        <f t="shared" si="6"/>
        <v>0</v>
      </c>
      <c r="I26" s="216">
        <f t="shared" si="6"/>
        <v>0</v>
      </c>
      <c r="J26" s="216">
        <f t="shared" si="6"/>
        <v>0</v>
      </c>
      <c r="K26" s="216">
        <f t="shared" si="6"/>
        <v>0</v>
      </c>
      <c r="L26" s="216">
        <f t="shared" si="6"/>
        <v>0</v>
      </c>
      <c r="M26" s="216">
        <f t="shared" si="6"/>
        <v>0</v>
      </c>
      <c r="N26" s="216">
        <f t="shared" si="6"/>
        <v>0</v>
      </c>
      <c r="O26" s="216">
        <f t="shared" si="6"/>
        <v>0</v>
      </c>
      <c r="P26" s="216">
        <f t="shared" si="6"/>
        <v>0</v>
      </c>
      <c r="Q26" s="216">
        <f t="shared" si="6"/>
        <v>0</v>
      </c>
      <c r="R26" s="216">
        <f t="shared" si="6"/>
        <v>0</v>
      </c>
      <c r="S26" s="216">
        <f t="shared" si="6"/>
        <v>0</v>
      </c>
      <c r="T26" s="216">
        <f t="shared" si="6"/>
        <v>0</v>
      </c>
      <c r="U26" s="216">
        <f t="shared" si="6"/>
        <v>0</v>
      </c>
      <c r="V26" s="216">
        <f t="shared" si="6"/>
        <v>0</v>
      </c>
      <c r="W26" s="216">
        <f t="shared" si="6"/>
        <v>0</v>
      </c>
      <c r="X26" s="216">
        <f t="shared" si="6"/>
        <v>0</v>
      </c>
      <c r="Y26" s="216">
        <f t="shared" si="6"/>
        <v>0</v>
      </c>
      <c r="Z26" s="216">
        <f t="shared" si="6"/>
        <v>0</v>
      </c>
      <c r="AA26" s="216">
        <f t="shared" si="6"/>
        <v>0</v>
      </c>
      <c r="AB26" s="216">
        <f t="shared" si="6"/>
        <v>0</v>
      </c>
      <c r="AC26" s="216">
        <f t="shared" si="6"/>
        <v>0</v>
      </c>
      <c r="AD26" s="216">
        <f t="shared" si="6"/>
        <v>0</v>
      </c>
      <c r="AE26" s="216">
        <f t="shared" si="6"/>
        <v>0</v>
      </c>
      <c r="AF26" s="216">
        <f t="shared" si="6"/>
        <v>0</v>
      </c>
      <c r="AG26" s="217">
        <f t="shared" si="6"/>
        <v>0</v>
      </c>
      <c r="AH26" s="183"/>
      <c r="AI26" s="214">
        <f t="shared" si="5"/>
        <v>0</v>
      </c>
      <c r="AJ26" s="183"/>
    </row>
    <row r="27" spans="1:36" ht="15" x14ac:dyDescent="0.25">
      <c r="A27" s="251" t="s">
        <v>19</v>
      </c>
      <c r="B27" s="29" t="s">
        <v>95</v>
      </c>
      <c r="C27" s="186"/>
      <c r="E27" s="207">
        <f t="shared" ref="E27:AG27" si="7">+E9*E$22</f>
        <v>475</v>
      </c>
      <c r="F27" s="208">
        <f t="shared" si="7"/>
        <v>0</v>
      </c>
      <c r="G27" s="208">
        <f t="shared" si="7"/>
        <v>0</v>
      </c>
      <c r="H27" s="208">
        <f t="shared" si="7"/>
        <v>0</v>
      </c>
      <c r="I27" s="208">
        <f t="shared" si="7"/>
        <v>0</v>
      </c>
      <c r="J27" s="208">
        <f t="shared" si="7"/>
        <v>0</v>
      </c>
      <c r="K27" s="208">
        <f t="shared" si="7"/>
        <v>0</v>
      </c>
      <c r="L27" s="208">
        <f t="shared" si="7"/>
        <v>0</v>
      </c>
      <c r="M27" s="208">
        <f t="shared" si="7"/>
        <v>0</v>
      </c>
      <c r="N27" s="208">
        <f t="shared" si="7"/>
        <v>0</v>
      </c>
      <c r="O27" s="208">
        <f t="shared" si="7"/>
        <v>0</v>
      </c>
      <c r="P27" s="208">
        <f t="shared" si="7"/>
        <v>0</v>
      </c>
      <c r="Q27" s="208">
        <f t="shared" si="7"/>
        <v>0</v>
      </c>
      <c r="R27" s="208">
        <f t="shared" si="7"/>
        <v>0</v>
      </c>
      <c r="S27" s="208">
        <f t="shared" si="7"/>
        <v>0</v>
      </c>
      <c r="T27" s="208">
        <f t="shared" si="7"/>
        <v>0</v>
      </c>
      <c r="U27" s="208">
        <f t="shared" si="7"/>
        <v>0</v>
      </c>
      <c r="V27" s="208">
        <f t="shared" si="7"/>
        <v>0</v>
      </c>
      <c r="W27" s="208">
        <f t="shared" si="7"/>
        <v>0</v>
      </c>
      <c r="X27" s="208">
        <f t="shared" si="7"/>
        <v>0</v>
      </c>
      <c r="Y27" s="208">
        <f t="shared" si="7"/>
        <v>0</v>
      </c>
      <c r="Z27" s="208">
        <f t="shared" si="7"/>
        <v>0</v>
      </c>
      <c r="AA27" s="208">
        <f t="shared" si="7"/>
        <v>0</v>
      </c>
      <c r="AB27" s="208">
        <f t="shared" si="7"/>
        <v>0</v>
      </c>
      <c r="AC27" s="208">
        <f t="shared" si="7"/>
        <v>0</v>
      </c>
      <c r="AD27" s="208">
        <f t="shared" si="7"/>
        <v>0</v>
      </c>
      <c r="AE27" s="208">
        <f t="shared" si="7"/>
        <v>0</v>
      </c>
      <c r="AF27" s="208">
        <f t="shared" si="7"/>
        <v>0</v>
      </c>
      <c r="AG27" s="209">
        <f t="shared" si="7"/>
        <v>0</v>
      </c>
      <c r="AH27" s="183"/>
      <c r="AI27" s="214">
        <f t="shared" si="5"/>
        <v>475</v>
      </c>
      <c r="AJ27" s="183"/>
    </row>
    <row r="28" spans="1:36" ht="15" x14ac:dyDescent="0.25">
      <c r="A28" s="252"/>
      <c r="B28" s="116" t="s">
        <v>133</v>
      </c>
      <c r="C28" s="186"/>
      <c r="E28" s="211">
        <f t="shared" ref="E28:AG28" si="8">+E10*E$22</f>
        <v>2185</v>
      </c>
      <c r="F28" s="212">
        <f t="shared" si="8"/>
        <v>0</v>
      </c>
      <c r="G28" s="212">
        <f t="shared" si="8"/>
        <v>0</v>
      </c>
      <c r="H28" s="212">
        <f t="shared" si="8"/>
        <v>0</v>
      </c>
      <c r="I28" s="212">
        <f t="shared" si="8"/>
        <v>0</v>
      </c>
      <c r="J28" s="212">
        <f t="shared" si="8"/>
        <v>0</v>
      </c>
      <c r="K28" s="212">
        <f t="shared" si="8"/>
        <v>0</v>
      </c>
      <c r="L28" s="212">
        <f t="shared" si="8"/>
        <v>0</v>
      </c>
      <c r="M28" s="212">
        <f t="shared" si="8"/>
        <v>0</v>
      </c>
      <c r="N28" s="212">
        <f t="shared" si="8"/>
        <v>0</v>
      </c>
      <c r="O28" s="212">
        <f t="shared" si="8"/>
        <v>0</v>
      </c>
      <c r="P28" s="212">
        <f t="shared" si="8"/>
        <v>0</v>
      </c>
      <c r="Q28" s="212">
        <f t="shared" si="8"/>
        <v>0</v>
      </c>
      <c r="R28" s="212">
        <f t="shared" si="8"/>
        <v>0</v>
      </c>
      <c r="S28" s="212">
        <f t="shared" si="8"/>
        <v>0</v>
      </c>
      <c r="T28" s="212">
        <f t="shared" si="8"/>
        <v>0</v>
      </c>
      <c r="U28" s="212">
        <f t="shared" si="8"/>
        <v>0</v>
      </c>
      <c r="V28" s="212">
        <f t="shared" si="8"/>
        <v>0</v>
      </c>
      <c r="W28" s="212">
        <f t="shared" si="8"/>
        <v>0</v>
      </c>
      <c r="X28" s="212">
        <f t="shared" si="8"/>
        <v>0</v>
      </c>
      <c r="Y28" s="212">
        <f t="shared" si="8"/>
        <v>0</v>
      </c>
      <c r="Z28" s="212">
        <f t="shared" si="8"/>
        <v>0</v>
      </c>
      <c r="AA28" s="212">
        <f t="shared" si="8"/>
        <v>0</v>
      </c>
      <c r="AB28" s="212">
        <f t="shared" si="8"/>
        <v>0</v>
      </c>
      <c r="AC28" s="212">
        <f t="shared" si="8"/>
        <v>0</v>
      </c>
      <c r="AD28" s="212">
        <f t="shared" si="8"/>
        <v>0</v>
      </c>
      <c r="AE28" s="212">
        <f t="shared" si="8"/>
        <v>0</v>
      </c>
      <c r="AF28" s="212">
        <f t="shared" si="8"/>
        <v>0</v>
      </c>
      <c r="AG28" s="213">
        <f t="shared" si="8"/>
        <v>0</v>
      </c>
      <c r="AH28" s="183"/>
      <c r="AI28" s="214">
        <f t="shared" si="5"/>
        <v>2185</v>
      </c>
      <c r="AJ28" s="183"/>
    </row>
    <row r="29" spans="1:36" ht="15" x14ac:dyDescent="0.25">
      <c r="A29" s="252"/>
      <c r="B29" s="116" t="s">
        <v>96</v>
      </c>
      <c r="C29" s="186"/>
      <c r="E29" s="211">
        <f t="shared" ref="E29:AG29" si="9">+E11*E$22</f>
        <v>0</v>
      </c>
      <c r="F29" s="212">
        <f t="shared" si="9"/>
        <v>0</v>
      </c>
      <c r="G29" s="212">
        <f t="shared" si="9"/>
        <v>0</v>
      </c>
      <c r="H29" s="212">
        <f t="shared" si="9"/>
        <v>0</v>
      </c>
      <c r="I29" s="212">
        <f t="shared" si="9"/>
        <v>0</v>
      </c>
      <c r="J29" s="212">
        <f t="shared" si="9"/>
        <v>0</v>
      </c>
      <c r="K29" s="212">
        <f t="shared" si="9"/>
        <v>0</v>
      </c>
      <c r="L29" s="212">
        <f t="shared" si="9"/>
        <v>0</v>
      </c>
      <c r="M29" s="212">
        <f t="shared" si="9"/>
        <v>0</v>
      </c>
      <c r="N29" s="212">
        <f t="shared" si="9"/>
        <v>0</v>
      </c>
      <c r="O29" s="212">
        <f t="shared" si="9"/>
        <v>0</v>
      </c>
      <c r="P29" s="212">
        <f t="shared" si="9"/>
        <v>0</v>
      </c>
      <c r="Q29" s="212">
        <f t="shared" si="9"/>
        <v>0</v>
      </c>
      <c r="R29" s="212">
        <f t="shared" si="9"/>
        <v>0</v>
      </c>
      <c r="S29" s="212">
        <f t="shared" si="9"/>
        <v>0</v>
      </c>
      <c r="T29" s="212">
        <f t="shared" si="9"/>
        <v>0</v>
      </c>
      <c r="U29" s="212">
        <f t="shared" si="9"/>
        <v>0</v>
      </c>
      <c r="V29" s="212">
        <f t="shared" si="9"/>
        <v>0</v>
      </c>
      <c r="W29" s="212">
        <f t="shared" si="9"/>
        <v>0</v>
      </c>
      <c r="X29" s="212">
        <f t="shared" si="9"/>
        <v>0</v>
      </c>
      <c r="Y29" s="212">
        <f t="shared" si="9"/>
        <v>0</v>
      </c>
      <c r="Z29" s="212">
        <f t="shared" si="9"/>
        <v>0</v>
      </c>
      <c r="AA29" s="212">
        <f t="shared" si="9"/>
        <v>0</v>
      </c>
      <c r="AB29" s="212">
        <f t="shared" si="9"/>
        <v>0</v>
      </c>
      <c r="AC29" s="212">
        <f t="shared" si="9"/>
        <v>0</v>
      </c>
      <c r="AD29" s="212">
        <f t="shared" si="9"/>
        <v>0</v>
      </c>
      <c r="AE29" s="212">
        <f t="shared" si="9"/>
        <v>0</v>
      </c>
      <c r="AF29" s="212">
        <f t="shared" si="9"/>
        <v>0</v>
      </c>
      <c r="AG29" s="213">
        <f t="shared" si="9"/>
        <v>0</v>
      </c>
      <c r="AH29" s="183"/>
      <c r="AI29" s="218">
        <f t="shared" si="5"/>
        <v>0</v>
      </c>
      <c r="AJ29" s="183"/>
    </row>
    <row r="30" spans="1:36" ht="15" x14ac:dyDescent="0.25">
      <c r="A30" s="252"/>
      <c r="B30" s="113" t="s">
        <v>134</v>
      </c>
      <c r="C30" s="186"/>
      <c r="E30" s="211">
        <f t="shared" ref="E30:AG30" si="10">+E12*E$22</f>
        <v>0</v>
      </c>
      <c r="F30" s="212">
        <f t="shared" si="10"/>
        <v>0</v>
      </c>
      <c r="G30" s="212">
        <f t="shared" si="10"/>
        <v>0</v>
      </c>
      <c r="H30" s="212">
        <f t="shared" si="10"/>
        <v>0</v>
      </c>
      <c r="I30" s="212">
        <f t="shared" si="10"/>
        <v>0</v>
      </c>
      <c r="J30" s="212">
        <f t="shared" si="10"/>
        <v>0</v>
      </c>
      <c r="K30" s="212">
        <f t="shared" si="10"/>
        <v>0</v>
      </c>
      <c r="L30" s="212">
        <f t="shared" si="10"/>
        <v>0</v>
      </c>
      <c r="M30" s="212">
        <f t="shared" si="10"/>
        <v>0</v>
      </c>
      <c r="N30" s="212">
        <f t="shared" si="10"/>
        <v>0</v>
      </c>
      <c r="O30" s="212">
        <f t="shared" si="10"/>
        <v>0</v>
      </c>
      <c r="P30" s="212">
        <f t="shared" si="10"/>
        <v>0</v>
      </c>
      <c r="Q30" s="212">
        <f t="shared" si="10"/>
        <v>0</v>
      </c>
      <c r="R30" s="212">
        <f t="shared" si="10"/>
        <v>0</v>
      </c>
      <c r="S30" s="212">
        <f t="shared" si="10"/>
        <v>0</v>
      </c>
      <c r="T30" s="212">
        <f t="shared" si="10"/>
        <v>0</v>
      </c>
      <c r="U30" s="212">
        <f t="shared" si="10"/>
        <v>0</v>
      </c>
      <c r="V30" s="212">
        <f t="shared" si="10"/>
        <v>0</v>
      </c>
      <c r="W30" s="212">
        <f t="shared" si="10"/>
        <v>0</v>
      </c>
      <c r="X30" s="212">
        <f t="shared" si="10"/>
        <v>0</v>
      </c>
      <c r="Y30" s="212">
        <f t="shared" si="10"/>
        <v>0</v>
      </c>
      <c r="Z30" s="212">
        <f t="shared" si="10"/>
        <v>0</v>
      </c>
      <c r="AA30" s="212">
        <f t="shared" si="10"/>
        <v>0</v>
      </c>
      <c r="AB30" s="212">
        <f t="shared" si="10"/>
        <v>0</v>
      </c>
      <c r="AC30" s="212">
        <f t="shared" si="10"/>
        <v>0</v>
      </c>
      <c r="AD30" s="212">
        <f t="shared" si="10"/>
        <v>0</v>
      </c>
      <c r="AE30" s="212">
        <f t="shared" si="10"/>
        <v>0</v>
      </c>
      <c r="AF30" s="212">
        <f t="shared" si="10"/>
        <v>0</v>
      </c>
      <c r="AG30" s="213">
        <f t="shared" si="10"/>
        <v>0</v>
      </c>
      <c r="AH30" s="183"/>
      <c r="AI30" s="210">
        <f t="shared" si="5"/>
        <v>0</v>
      </c>
      <c r="AJ30" s="183"/>
    </row>
    <row r="31" spans="1:36" ht="15" x14ac:dyDescent="0.25">
      <c r="A31" s="252"/>
      <c r="B31" s="113" t="s">
        <v>98</v>
      </c>
      <c r="C31" s="186"/>
      <c r="E31" s="211">
        <f t="shared" ref="E31:AG31" si="11">+E13*E$22</f>
        <v>40000</v>
      </c>
      <c r="F31" s="212">
        <f t="shared" si="11"/>
        <v>0</v>
      </c>
      <c r="G31" s="212">
        <f t="shared" si="11"/>
        <v>0</v>
      </c>
      <c r="H31" s="212">
        <f t="shared" si="11"/>
        <v>0</v>
      </c>
      <c r="I31" s="212">
        <f t="shared" si="11"/>
        <v>0</v>
      </c>
      <c r="J31" s="212">
        <f t="shared" si="11"/>
        <v>0</v>
      </c>
      <c r="K31" s="212">
        <f t="shared" si="11"/>
        <v>0</v>
      </c>
      <c r="L31" s="212">
        <f t="shared" si="11"/>
        <v>0</v>
      </c>
      <c r="M31" s="212">
        <f t="shared" si="11"/>
        <v>0</v>
      </c>
      <c r="N31" s="212">
        <f t="shared" si="11"/>
        <v>0</v>
      </c>
      <c r="O31" s="212">
        <f t="shared" si="11"/>
        <v>0</v>
      </c>
      <c r="P31" s="212">
        <f t="shared" si="11"/>
        <v>0</v>
      </c>
      <c r="Q31" s="212">
        <f t="shared" si="11"/>
        <v>0</v>
      </c>
      <c r="R31" s="212">
        <f t="shared" si="11"/>
        <v>0</v>
      </c>
      <c r="S31" s="212">
        <f t="shared" si="11"/>
        <v>0</v>
      </c>
      <c r="T31" s="212">
        <f t="shared" si="11"/>
        <v>0</v>
      </c>
      <c r="U31" s="212">
        <f t="shared" si="11"/>
        <v>0</v>
      </c>
      <c r="V31" s="212">
        <f t="shared" si="11"/>
        <v>0</v>
      </c>
      <c r="W31" s="212">
        <f t="shared" si="11"/>
        <v>0</v>
      </c>
      <c r="X31" s="212">
        <f t="shared" si="11"/>
        <v>0</v>
      </c>
      <c r="Y31" s="212">
        <f t="shared" si="11"/>
        <v>0</v>
      </c>
      <c r="Z31" s="212">
        <f t="shared" si="11"/>
        <v>0</v>
      </c>
      <c r="AA31" s="212">
        <f t="shared" si="11"/>
        <v>0</v>
      </c>
      <c r="AB31" s="212">
        <f t="shared" si="11"/>
        <v>0</v>
      </c>
      <c r="AC31" s="212">
        <f t="shared" si="11"/>
        <v>0</v>
      </c>
      <c r="AD31" s="212">
        <f t="shared" si="11"/>
        <v>0</v>
      </c>
      <c r="AE31" s="212">
        <f t="shared" si="11"/>
        <v>0</v>
      </c>
      <c r="AF31" s="212">
        <f t="shared" si="11"/>
        <v>0</v>
      </c>
      <c r="AG31" s="213">
        <f t="shared" si="11"/>
        <v>0</v>
      </c>
      <c r="AH31" s="183"/>
      <c r="AI31" s="214">
        <f t="shared" si="5"/>
        <v>40000</v>
      </c>
      <c r="AJ31" s="183"/>
    </row>
    <row r="32" spans="1:36" ht="15" x14ac:dyDescent="0.25">
      <c r="A32" s="252"/>
      <c r="B32" s="113" t="s">
        <v>135</v>
      </c>
      <c r="C32" s="206"/>
      <c r="E32" s="211">
        <f t="shared" ref="E32:AG32" si="12">+E14*E$22</f>
        <v>240</v>
      </c>
      <c r="F32" s="212">
        <f t="shared" si="12"/>
        <v>240</v>
      </c>
      <c r="G32" s="212">
        <f t="shared" si="12"/>
        <v>240</v>
      </c>
      <c r="H32" s="212">
        <f t="shared" si="12"/>
        <v>240</v>
      </c>
      <c r="I32" s="212">
        <f t="shared" si="12"/>
        <v>240</v>
      </c>
      <c r="J32" s="212">
        <f t="shared" si="12"/>
        <v>240</v>
      </c>
      <c r="K32" s="212">
        <f t="shared" si="12"/>
        <v>240</v>
      </c>
      <c r="L32" s="212">
        <f t="shared" si="12"/>
        <v>240</v>
      </c>
      <c r="M32" s="212">
        <f t="shared" si="12"/>
        <v>0</v>
      </c>
      <c r="N32" s="212">
        <f t="shared" si="12"/>
        <v>0</v>
      </c>
      <c r="O32" s="212">
        <f t="shared" si="12"/>
        <v>0</v>
      </c>
      <c r="P32" s="212">
        <f t="shared" si="12"/>
        <v>0</v>
      </c>
      <c r="Q32" s="212">
        <f t="shared" si="12"/>
        <v>0</v>
      </c>
      <c r="R32" s="212">
        <f t="shared" si="12"/>
        <v>0</v>
      </c>
      <c r="S32" s="212">
        <f t="shared" si="12"/>
        <v>0</v>
      </c>
      <c r="T32" s="212">
        <f t="shared" si="12"/>
        <v>0</v>
      </c>
      <c r="U32" s="212">
        <f t="shared" si="12"/>
        <v>0</v>
      </c>
      <c r="V32" s="212">
        <f t="shared" si="12"/>
        <v>0</v>
      </c>
      <c r="W32" s="212">
        <f t="shared" si="12"/>
        <v>0</v>
      </c>
      <c r="X32" s="212">
        <f t="shared" si="12"/>
        <v>0</v>
      </c>
      <c r="Y32" s="212">
        <f t="shared" si="12"/>
        <v>0</v>
      </c>
      <c r="Z32" s="212">
        <f t="shared" si="12"/>
        <v>0</v>
      </c>
      <c r="AA32" s="212">
        <f t="shared" si="12"/>
        <v>0</v>
      </c>
      <c r="AB32" s="212">
        <f t="shared" si="12"/>
        <v>0</v>
      </c>
      <c r="AC32" s="212">
        <f t="shared" si="12"/>
        <v>0</v>
      </c>
      <c r="AD32" s="212">
        <f t="shared" si="12"/>
        <v>0</v>
      </c>
      <c r="AE32" s="212">
        <f t="shared" si="12"/>
        <v>0</v>
      </c>
      <c r="AF32" s="212">
        <f t="shared" si="12"/>
        <v>0</v>
      </c>
      <c r="AG32" s="213">
        <f t="shared" si="12"/>
        <v>0</v>
      </c>
      <c r="AH32" s="183"/>
      <c r="AI32" s="214">
        <f t="shared" si="5"/>
        <v>1920</v>
      </c>
      <c r="AJ32" s="183"/>
    </row>
    <row r="33" spans="1:36" ht="15" x14ac:dyDescent="0.25">
      <c r="A33" s="252"/>
      <c r="B33" s="30" t="s">
        <v>118</v>
      </c>
      <c r="C33" s="206"/>
      <c r="E33" s="215">
        <f t="shared" ref="E33:AG33" si="13">+E15*E$22</f>
        <v>851.2</v>
      </c>
      <c r="F33" s="216">
        <f t="shared" si="13"/>
        <v>711.7755843475129</v>
      </c>
      <c r="G33" s="216">
        <f t="shared" si="13"/>
        <v>558.40872712977671</v>
      </c>
      <c r="H33" s="216">
        <f t="shared" si="13"/>
        <v>389.70518419026718</v>
      </c>
      <c r="I33" s="216">
        <f t="shared" si="13"/>
        <v>204.13128695680663</v>
      </c>
      <c r="J33" s="216">
        <f t="shared" si="13"/>
        <v>0</v>
      </c>
      <c r="K33" s="216">
        <f t="shared" si="13"/>
        <v>0</v>
      </c>
      <c r="L33" s="216">
        <f t="shared" si="13"/>
        <v>0</v>
      </c>
      <c r="M33" s="216">
        <f t="shared" si="13"/>
        <v>0</v>
      </c>
      <c r="N33" s="216">
        <f t="shared" si="13"/>
        <v>0</v>
      </c>
      <c r="O33" s="216">
        <f t="shared" si="13"/>
        <v>0</v>
      </c>
      <c r="P33" s="216">
        <f t="shared" si="13"/>
        <v>0</v>
      </c>
      <c r="Q33" s="216">
        <f t="shared" si="13"/>
        <v>0</v>
      </c>
      <c r="R33" s="216">
        <f t="shared" si="13"/>
        <v>0</v>
      </c>
      <c r="S33" s="216">
        <f t="shared" si="13"/>
        <v>0</v>
      </c>
      <c r="T33" s="216">
        <f t="shared" si="13"/>
        <v>0</v>
      </c>
      <c r="U33" s="216">
        <f t="shared" si="13"/>
        <v>0</v>
      </c>
      <c r="V33" s="216">
        <f t="shared" si="13"/>
        <v>0</v>
      </c>
      <c r="W33" s="216">
        <f t="shared" si="13"/>
        <v>0</v>
      </c>
      <c r="X33" s="216">
        <f t="shared" si="13"/>
        <v>0</v>
      </c>
      <c r="Y33" s="216">
        <f t="shared" si="13"/>
        <v>0</v>
      </c>
      <c r="Z33" s="216">
        <f t="shared" si="13"/>
        <v>0</v>
      </c>
      <c r="AA33" s="216">
        <f t="shared" si="13"/>
        <v>0</v>
      </c>
      <c r="AB33" s="216">
        <f t="shared" si="13"/>
        <v>0</v>
      </c>
      <c r="AC33" s="216">
        <f t="shared" si="13"/>
        <v>0</v>
      </c>
      <c r="AD33" s="216">
        <f t="shared" si="13"/>
        <v>0</v>
      </c>
      <c r="AE33" s="216">
        <f t="shared" si="13"/>
        <v>0</v>
      </c>
      <c r="AF33" s="216">
        <f t="shared" si="13"/>
        <v>0</v>
      </c>
      <c r="AG33" s="217">
        <f t="shared" si="13"/>
        <v>0</v>
      </c>
      <c r="AH33" s="183"/>
      <c r="AI33" s="214">
        <f t="shared" si="5"/>
        <v>2715.2207826243634</v>
      </c>
      <c r="AJ33" s="183"/>
    </row>
    <row r="34" spans="1:36" ht="15" x14ac:dyDescent="0.25">
      <c r="A34" s="251" t="s">
        <v>20</v>
      </c>
      <c r="B34" s="113" t="s">
        <v>54</v>
      </c>
      <c r="C34" s="206"/>
      <c r="E34" s="207">
        <f t="shared" ref="E34:AG34" si="14">+E16*E$22</f>
        <v>13266.568596063938</v>
      </c>
      <c r="F34" s="208">
        <f t="shared" si="14"/>
        <v>13266.568596063938</v>
      </c>
      <c r="G34" s="208">
        <f t="shared" si="14"/>
        <v>13266.568596063938</v>
      </c>
      <c r="H34" s="208">
        <f t="shared" si="14"/>
        <v>13266.568596063938</v>
      </c>
      <c r="I34" s="208">
        <f t="shared" si="14"/>
        <v>13266.568596063938</v>
      </c>
      <c r="J34" s="208">
        <f t="shared" si="14"/>
        <v>13266.568596063938</v>
      </c>
      <c r="K34" s="208">
        <f t="shared" si="14"/>
        <v>13266.568596063938</v>
      </c>
      <c r="L34" s="208">
        <f t="shared" si="14"/>
        <v>13266.568596063938</v>
      </c>
      <c r="M34" s="208">
        <f t="shared" si="14"/>
        <v>0</v>
      </c>
      <c r="N34" s="208">
        <f t="shared" si="14"/>
        <v>0</v>
      </c>
      <c r="O34" s="208">
        <f t="shared" si="14"/>
        <v>0</v>
      </c>
      <c r="P34" s="208">
        <f t="shared" si="14"/>
        <v>0</v>
      </c>
      <c r="Q34" s="208">
        <f t="shared" si="14"/>
        <v>0</v>
      </c>
      <c r="R34" s="208">
        <f t="shared" si="14"/>
        <v>0</v>
      </c>
      <c r="S34" s="208">
        <f t="shared" si="14"/>
        <v>0</v>
      </c>
      <c r="T34" s="208">
        <f t="shared" si="14"/>
        <v>0</v>
      </c>
      <c r="U34" s="208">
        <f t="shared" si="14"/>
        <v>0</v>
      </c>
      <c r="V34" s="208">
        <f t="shared" si="14"/>
        <v>0</v>
      </c>
      <c r="W34" s="208">
        <f t="shared" si="14"/>
        <v>0</v>
      </c>
      <c r="X34" s="208">
        <f t="shared" si="14"/>
        <v>0</v>
      </c>
      <c r="Y34" s="208">
        <f t="shared" si="14"/>
        <v>0</v>
      </c>
      <c r="Z34" s="208">
        <f t="shared" si="14"/>
        <v>0</v>
      </c>
      <c r="AA34" s="208">
        <f t="shared" si="14"/>
        <v>0</v>
      </c>
      <c r="AB34" s="208">
        <f t="shared" si="14"/>
        <v>0</v>
      </c>
      <c r="AC34" s="208">
        <f t="shared" si="14"/>
        <v>0</v>
      </c>
      <c r="AD34" s="208">
        <f t="shared" si="14"/>
        <v>0</v>
      </c>
      <c r="AE34" s="208">
        <f t="shared" si="14"/>
        <v>0</v>
      </c>
      <c r="AF34" s="208">
        <f t="shared" si="14"/>
        <v>0</v>
      </c>
      <c r="AG34" s="209">
        <f t="shared" si="14"/>
        <v>0</v>
      </c>
      <c r="AH34" s="183"/>
      <c r="AI34" s="218">
        <f t="shared" si="5"/>
        <v>106132.54876851151</v>
      </c>
      <c r="AJ34" s="183"/>
    </row>
    <row r="35" spans="1:36" ht="15" x14ac:dyDescent="0.25">
      <c r="A35" s="253"/>
      <c r="B35" s="30" t="s">
        <v>119</v>
      </c>
      <c r="C35" s="206"/>
      <c r="E35" s="215">
        <f t="shared" ref="E35:AG35" si="15">+E17*E$22</f>
        <v>11676.203389830504</v>
      </c>
      <c r="F35" s="216">
        <f t="shared" si="15"/>
        <v>11676.203389830504</v>
      </c>
      <c r="G35" s="216">
        <f t="shared" si="15"/>
        <v>11676.203389830504</v>
      </c>
      <c r="H35" s="216">
        <f t="shared" si="15"/>
        <v>11676.203389830504</v>
      </c>
      <c r="I35" s="216">
        <f t="shared" si="15"/>
        <v>11676.203389830504</v>
      </c>
      <c r="J35" s="216">
        <f t="shared" si="15"/>
        <v>11676.203389830504</v>
      </c>
      <c r="K35" s="216">
        <f t="shared" si="15"/>
        <v>11676.203389830504</v>
      </c>
      <c r="L35" s="216">
        <f t="shared" si="15"/>
        <v>11676.203389830504</v>
      </c>
      <c r="M35" s="216">
        <f t="shared" si="15"/>
        <v>0</v>
      </c>
      <c r="N35" s="216">
        <f t="shared" si="15"/>
        <v>0</v>
      </c>
      <c r="O35" s="216">
        <f t="shared" si="15"/>
        <v>0</v>
      </c>
      <c r="P35" s="216">
        <f t="shared" si="15"/>
        <v>0</v>
      </c>
      <c r="Q35" s="216">
        <f t="shared" si="15"/>
        <v>0</v>
      </c>
      <c r="R35" s="216">
        <f t="shared" si="15"/>
        <v>0</v>
      </c>
      <c r="S35" s="216">
        <f t="shared" si="15"/>
        <v>0</v>
      </c>
      <c r="T35" s="216">
        <f t="shared" si="15"/>
        <v>0</v>
      </c>
      <c r="U35" s="216">
        <f t="shared" si="15"/>
        <v>0</v>
      </c>
      <c r="V35" s="216">
        <f t="shared" si="15"/>
        <v>0</v>
      </c>
      <c r="W35" s="216">
        <f t="shared" si="15"/>
        <v>0</v>
      </c>
      <c r="X35" s="216">
        <f t="shared" si="15"/>
        <v>0</v>
      </c>
      <c r="Y35" s="216">
        <f t="shared" si="15"/>
        <v>0</v>
      </c>
      <c r="Z35" s="216">
        <f t="shared" si="15"/>
        <v>0</v>
      </c>
      <c r="AA35" s="216">
        <f t="shared" si="15"/>
        <v>0</v>
      </c>
      <c r="AB35" s="216">
        <f t="shared" si="15"/>
        <v>0</v>
      </c>
      <c r="AC35" s="216">
        <f t="shared" si="15"/>
        <v>0</v>
      </c>
      <c r="AD35" s="216">
        <f t="shared" si="15"/>
        <v>0</v>
      </c>
      <c r="AE35" s="216">
        <f t="shared" si="15"/>
        <v>0</v>
      </c>
      <c r="AF35" s="216">
        <f t="shared" si="15"/>
        <v>0</v>
      </c>
      <c r="AG35" s="217">
        <f t="shared" si="15"/>
        <v>0</v>
      </c>
      <c r="AH35" s="183"/>
      <c r="AI35" s="210">
        <f t="shared" si="5"/>
        <v>93409.627118644043</v>
      </c>
      <c r="AJ35" s="183"/>
    </row>
    <row r="36" spans="1:36" ht="15" x14ac:dyDescent="0.25">
      <c r="A36" s="70" t="s">
        <v>140</v>
      </c>
      <c r="B36" s="71" t="s">
        <v>121</v>
      </c>
      <c r="E36" s="219">
        <f>+E18*E$22</f>
        <v>697.6</v>
      </c>
      <c r="F36" s="220">
        <f t="shared" ref="F36:AG36" si="16">+F18*F$22</f>
        <v>697.6</v>
      </c>
      <c r="G36" s="220">
        <f t="shared" si="16"/>
        <v>697.6</v>
      </c>
      <c r="H36" s="220">
        <f t="shared" si="16"/>
        <v>697.6</v>
      </c>
      <c r="I36" s="220">
        <f t="shared" si="16"/>
        <v>697.6</v>
      </c>
      <c r="J36" s="220">
        <f t="shared" si="16"/>
        <v>697.6</v>
      </c>
      <c r="K36" s="220">
        <f t="shared" si="16"/>
        <v>697.6</v>
      </c>
      <c r="L36" s="220">
        <f t="shared" si="16"/>
        <v>697.6</v>
      </c>
      <c r="M36" s="220">
        <f t="shared" si="16"/>
        <v>0</v>
      </c>
      <c r="N36" s="220">
        <f t="shared" si="16"/>
        <v>0</v>
      </c>
      <c r="O36" s="220">
        <f t="shared" si="16"/>
        <v>0</v>
      </c>
      <c r="P36" s="220">
        <f t="shared" si="16"/>
        <v>0</v>
      </c>
      <c r="Q36" s="220">
        <f t="shared" si="16"/>
        <v>0</v>
      </c>
      <c r="R36" s="220">
        <f t="shared" si="16"/>
        <v>0</v>
      </c>
      <c r="S36" s="220">
        <f t="shared" si="16"/>
        <v>0</v>
      </c>
      <c r="T36" s="220">
        <f t="shared" si="16"/>
        <v>0</v>
      </c>
      <c r="U36" s="220">
        <f t="shared" si="16"/>
        <v>0</v>
      </c>
      <c r="V36" s="220">
        <f t="shared" si="16"/>
        <v>0</v>
      </c>
      <c r="W36" s="220">
        <f t="shared" si="16"/>
        <v>0</v>
      </c>
      <c r="X36" s="220">
        <f t="shared" si="16"/>
        <v>0</v>
      </c>
      <c r="Y36" s="220">
        <f t="shared" si="16"/>
        <v>0</v>
      </c>
      <c r="Z36" s="220">
        <f t="shared" si="16"/>
        <v>0</v>
      </c>
      <c r="AA36" s="220">
        <f t="shared" si="16"/>
        <v>0</v>
      </c>
      <c r="AB36" s="220">
        <f t="shared" si="16"/>
        <v>0</v>
      </c>
      <c r="AC36" s="220">
        <f t="shared" si="16"/>
        <v>0</v>
      </c>
      <c r="AD36" s="220">
        <f t="shared" si="16"/>
        <v>0</v>
      </c>
      <c r="AE36" s="220">
        <f t="shared" si="16"/>
        <v>0</v>
      </c>
      <c r="AF36" s="220">
        <f t="shared" si="16"/>
        <v>0</v>
      </c>
      <c r="AG36" s="221">
        <f t="shared" si="16"/>
        <v>0</v>
      </c>
      <c r="AI36" s="218">
        <f t="shared" si="5"/>
        <v>5580.8000000000011</v>
      </c>
      <c r="AJ36" s="183"/>
    </row>
    <row r="37" spans="1:36" ht="14.45" customHeight="1" x14ac:dyDescent="0.25">
      <c r="B37" s="181" t="s">
        <v>219</v>
      </c>
      <c r="C37" s="186"/>
      <c r="E37" s="222">
        <f t="shared" ref="E37:AG37" si="17">SUM(E25:E36)</f>
        <v>78891.57198589445</v>
      </c>
      <c r="F37" s="222">
        <f t="shared" si="17"/>
        <v>26592.147570241956</v>
      </c>
      <c r="G37" s="222">
        <f t="shared" si="17"/>
        <v>26438.780713024214</v>
      </c>
      <c r="H37" s="222">
        <f t="shared" si="17"/>
        <v>26270.077170084707</v>
      </c>
      <c r="I37" s="222">
        <f t="shared" si="17"/>
        <v>26084.503272851245</v>
      </c>
      <c r="J37" s="222">
        <f t="shared" si="17"/>
        <v>25880.371985894439</v>
      </c>
      <c r="K37" s="222">
        <f t="shared" si="17"/>
        <v>25880.371985894439</v>
      </c>
      <c r="L37" s="222">
        <f t="shared" si="17"/>
        <v>25880.371985894439</v>
      </c>
      <c r="M37" s="222">
        <f t="shared" si="17"/>
        <v>0</v>
      </c>
      <c r="N37" s="222">
        <f t="shared" si="17"/>
        <v>0</v>
      </c>
      <c r="O37" s="222">
        <f t="shared" si="17"/>
        <v>0</v>
      </c>
      <c r="P37" s="222">
        <f t="shared" si="17"/>
        <v>0</v>
      </c>
      <c r="Q37" s="222">
        <f t="shared" si="17"/>
        <v>0</v>
      </c>
      <c r="R37" s="222">
        <f t="shared" si="17"/>
        <v>0</v>
      </c>
      <c r="S37" s="222">
        <f t="shared" si="17"/>
        <v>0</v>
      </c>
      <c r="T37" s="222">
        <f t="shared" si="17"/>
        <v>0</v>
      </c>
      <c r="U37" s="222">
        <f t="shared" si="17"/>
        <v>0</v>
      </c>
      <c r="V37" s="222">
        <f t="shared" si="17"/>
        <v>0</v>
      </c>
      <c r="W37" s="222">
        <f t="shared" si="17"/>
        <v>0</v>
      </c>
      <c r="X37" s="222">
        <f t="shared" si="17"/>
        <v>0</v>
      </c>
      <c r="Y37" s="222">
        <f t="shared" si="17"/>
        <v>0</v>
      </c>
      <c r="Z37" s="222">
        <f t="shared" si="17"/>
        <v>0</v>
      </c>
      <c r="AA37" s="222">
        <f t="shared" si="17"/>
        <v>0</v>
      </c>
      <c r="AB37" s="222">
        <f t="shared" si="17"/>
        <v>0</v>
      </c>
      <c r="AC37" s="222">
        <f t="shared" si="17"/>
        <v>0</v>
      </c>
      <c r="AD37" s="222">
        <f t="shared" si="17"/>
        <v>0</v>
      </c>
      <c r="AE37" s="222">
        <f t="shared" si="17"/>
        <v>0</v>
      </c>
      <c r="AF37" s="222">
        <f t="shared" si="17"/>
        <v>0</v>
      </c>
      <c r="AG37" s="222">
        <f t="shared" si="17"/>
        <v>0</v>
      </c>
      <c r="AH37" s="183"/>
      <c r="AI37" s="223">
        <f>+SUM(E37:AG37)</f>
        <v>261918.19666977989</v>
      </c>
    </row>
    <row r="38" spans="1:36" ht="14.45" customHeight="1" x14ac:dyDescent="0.25"/>
    <row r="39" spans="1:36" ht="14.45" customHeight="1" x14ac:dyDescent="0.25"/>
    <row r="40" spans="1:36" ht="14.45" customHeight="1" x14ac:dyDescent="0.25"/>
    <row r="41" spans="1:36" ht="14.45" customHeight="1" x14ac:dyDescent="0.25">
      <c r="A41" s="258" t="s">
        <v>224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</row>
    <row r="42" spans="1:36" ht="14.45" customHeight="1" x14ac:dyDescent="0.25">
      <c r="A42" s="97"/>
      <c r="E42" s="182">
        <v>0</v>
      </c>
      <c r="F42" s="182">
        <v>1</v>
      </c>
      <c r="G42" s="182">
        <v>2</v>
      </c>
      <c r="H42" s="182">
        <v>3</v>
      </c>
      <c r="I42" s="182">
        <v>4</v>
      </c>
      <c r="J42" s="182">
        <v>5</v>
      </c>
      <c r="K42" s="182">
        <v>6</v>
      </c>
      <c r="L42" s="182">
        <v>7</v>
      </c>
      <c r="M42" s="182">
        <v>8</v>
      </c>
      <c r="N42" s="182">
        <v>9</v>
      </c>
      <c r="O42" s="182">
        <v>10</v>
      </c>
      <c r="P42" s="182">
        <v>11</v>
      </c>
      <c r="Q42" s="182">
        <v>12</v>
      </c>
      <c r="R42" s="182">
        <v>13</v>
      </c>
      <c r="S42" s="182">
        <v>14</v>
      </c>
      <c r="T42" s="182">
        <v>15</v>
      </c>
      <c r="U42" s="182">
        <v>16</v>
      </c>
      <c r="V42" s="182">
        <v>17</v>
      </c>
      <c r="W42" s="182">
        <v>18</v>
      </c>
      <c r="X42" s="182">
        <v>19</v>
      </c>
      <c r="Y42" s="182">
        <v>20</v>
      </c>
      <c r="Z42" s="182">
        <v>21</v>
      </c>
      <c r="AA42" s="182">
        <v>22</v>
      </c>
      <c r="AB42" s="182">
        <v>23</v>
      </c>
      <c r="AC42" s="182">
        <v>24</v>
      </c>
      <c r="AD42" s="182">
        <v>25</v>
      </c>
      <c r="AE42" s="182">
        <v>26</v>
      </c>
      <c r="AF42" s="182">
        <v>27</v>
      </c>
      <c r="AG42" s="182">
        <v>28</v>
      </c>
    </row>
    <row r="43" spans="1:36" ht="14.45" customHeight="1" x14ac:dyDescent="0.25">
      <c r="A43" s="262" t="s">
        <v>218</v>
      </c>
      <c r="B43" s="262"/>
      <c r="C43" s="181" t="s">
        <v>3</v>
      </c>
      <c r="E43" s="184">
        <v>2022</v>
      </c>
      <c r="F43" s="184">
        <f>+E43+1</f>
        <v>2023</v>
      </c>
      <c r="G43" s="185">
        <f t="shared" ref="G43" si="18">+F43+1</f>
        <v>2024</v>
      </c>
      <c r="H43" s="185">
        <f t="shared" ref="H43" si="19">+G43+1</f>
        <v>2025</v>
      </c>
      <c r="I43" s="185">
        <f t="shared" ref="I43" si="20">+H43+1</f>
        <v>2026</v>
      </c>
      <c r="J43" s="185">
        <f t="shared" ref="J43" si="21">+I43+1</f>
        <v>2027</v>
      </c>
      <c r="K43" s="185">
        <f t="shared" ref="K43" si="22">+J43+1</f>
        <v>2028</v>
      </c>
      <c r="L43" s="185">
        <f t="shared" ref="L43" si="23">+K43+1</f>
        <v>2029</v>
      </c>
      <c r="M43" s="185">
        <f t="shared" ref="M43" si="24">+L43+1</f>
        <v>2030</v>
      </c>
      <c r="N43" s="185">
        <f t="shared" ref="N43" si="25">+M43+1</f>
        <v>2031</v>
      </c>
      <c r="O43" s="185">
        <f t="shared" ref="O43" si="26">+N43+1</f>
        <v>2032</v>
      </c>
      <c r="P43" s="185">
        <f t="shared" ref="P43" si="27">+O43+1</f>
        <v>2033</v>
      </c>
      <c r="Q43" s="185">
        <f t="shared" ref="Q43" si="28">+P43+1</f>
        <v>2034</v>
      </c>
      <c r="R43" s="185">
        <f t="shared" ref="R43" si="29">+Q43+1</f>
        <v>2035</v>
      </c>
      <c r="S43" s="185">
        <f t="shared" ref="S43" si="30">+R43+1</f>
        <v>2036</v>
      </c>
      <c r="T43" s="185">
        <f t="shared" ref="T43" si="31">+S43+1</f>
        <v>2037</v>
      </c>
      <c r="U43" s="185">
        <f t="shared" ref="U43" si="32">+T43+1</f>
        <v>2038</v>
      </c>
      <c r="V43" s="185">
        <f t="shared" ref="V43" si="33">+U43+1</f>
        <v>2039</v>
      </c>
      <c r="W43" s="185">
        <f t="shared" ref="W43" si="34">+V43+1</f>
        <v>2040</v>
      </c>
      <c r="X43" s="185">
        <f t="shared" ref="X43" si="35">+W43+1</f>
        <v>2041</v>
      </c>
      <c r="Y43" s="185">
        <f t="shared" ref="Y43" si="36">+X43+1</f>
        <v>2042</v>
      </c>
      <c r="Z43" s="185">
        <f t="shared" ref="Z43" si="37">+Y43+1</f>
        <v>2043</v>
      </c>
      <c r="AA43" s="185">
        <f t="shared" ref="AA43" si="38">+Z43+1</f>
        <v>2044</v>
      </c>
      <c r="AB43" s="185">
        <f t="shared" ref="AB43" si="39">+AA43+1</f>
        <v>2045</v>
      </c>
      <c r="AC43" s="185">
        <f t="shared" ref="AC43" si="40">+AB43+1</f>
        <v>2046</v>
      </c>
      <c r="AD43" s="185">
        <f t="shared" ref="AD43" si="41">+AC43+1</f>
        <v>2047</v>
      </c>
      <c r="AE43" s="185">
        <f t="shared" ref="AE43" si="42">+AD43+1</f>
        <v>2048</v>
      </c>
      <c r="AF43" s="185">
        <f t="shared" ref="AF43" si="43">+AE43+1</f>
        <v>2049</v>
      </c>
      <c r="AG43" s="185">
        <f t="shared" ref="AG43" si="44">+AF43+1</f>
        <v>2050</v>
      </c>
      <c r="AI43" s="185" t="s">
        <v>219</v>
      </c>
    </row>
    <row r="44" spans="1:36" ht="14.45" customHeight="1" x14ac:dyDescent="0.25">
      <c r="A44" s="251" t="s">
        <v>18</v>
      </c>
      <c r="B44" s="29" t="s">
        <v>189</v>
      </c>
      <c r="C44" s="186"/>
      <c r="E44" s="187">
        <f>CTP!E4</f>
        <v>20000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  <c r="AC44" s="188">
        <v>0</v>
      </c>
      <c r="AD44" s="188">
        <v>0</v>
      </c>
      <c r="AE44" s="188">
        <v>0</v>
      </c>
      <c r="AF44" s="188">
        <v>0</v>
      </c>
      <c r="AG44" s="189">
        <v>0</v>
      </c>
      <c r="AH44" s="183"/>
      <c r="AI44" s="190">
        <f>+SUM(E44:AG44)</f>
        <v>20000</v>
      </c>
    </row>
    <row r="45" spans="1:36" ht="14.45" customHeight="1" x14ac:dyDescent="0.25">
      <c r="A45" s="253"/>
      <c r="B45" s="113" t="s">
        <v>110</v>
      </c>
      <c r="C45" s="186"/>
      <c r="E45" s="195">
        <f>CTP!E5</f>
        <v>2000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7">
        <v>0</v>
      </c>
      <c r="AH45" s="183"/>
      <c r="AI45" s="198">
        <f t="shared" ref="AI45:AI53" si="45">+SUM(E45:AG45)</f>
        <v>2000</v>
      </c>
    </row>
    <row r="46" spans="1:36" ht="14.45" customHeight="1" x14ac:dyDescent="0.25">
      <c r="A46" s="251" t="s">
        <v>19</v>
      </c>
      <c r="B46" s="29" t="s">
        <v>95</v>
      </c>
      <c r="C46" s="186"/>
      <c r="E46" s="187">
        <f>CTP!E6</f>
        <v>1000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88">
        <v>0</v>
      </c>
      <c r="AG46" s="189">
        <v>0</v>
      </c>
      <c r="AH46" s="183"/>
      <c r="AI46" s="190">
        <f t="shared" si="45"/>
        <v>1000</v>
      </c>
    </row>
    <row r="47" spans="1:36" ht="14.45" customHeight="1" x14ac:dyDescent="0.25">
      <c r="A47" s="252"/>
      <c r="B47" s="116" t="s">
        <v>133</v>
      </c>
      <c r="C47" s="186"/>
      <c r="E47" s="191">
        <f>CTP!E7</f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0</v>
      </c>
      <c r="W47" s="192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2">
        <v>0</v>
      </c>
      <c r="AD47" s="192">
        <v>0</v>
      </c>
      <c r="AE47" s="192">
        <v>0</v>
      </c>
      <c r="AF47" s="192">
        <v>0</v>
      </c>
      <c r="AG47" s="193">
        <v>0</v>
      </c>
      <c r="AH47" s="183"/>
      <c r="AI47" s="194">
        <f t="shared" si="45"/>
        <v>0</v>
      </c>
    </row>
    <row r="48" spans="1:36" ht="14.45" customHeight="1" x14ac:dyDescent="0.25">
      <c r="A48" s="252"/>
      <c r="B48" s="116" t="s">
        <v>96</v>
      </c>
      <c r="C48" s="186"/>
      <c r="E48" s="191">
        <f>CTP!E8</f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f>[1]CTP!$C$7</f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2">
        <v>0</v>
      </c>
      <c r="AD48" s="192">
        <v>0</v>
      </c>
      <c r="AE48" s="192">
        <v>0</v>
      </c>
      <c r="AF48" s="192">
        <v>0</v>
      </c>
      <c r="AG48" s="193">
        <v>0</v>
      </c>
      <c r="AH48" s="183"/>
      <c r="AI48" s="194">
        <f t="shared" si="45"/>
        <v>0</v>
      </c>
    </row>
    <row r="49" spans="1:35" ht="14.45" customHeight="1" x14ac:dyDescent="0.25">
      <c r="A49" s="252"/>
      <c r="B49" s="113" t="s">
        <v>134</v>
      </c>
      <c r="C49" s="186"/>
      <c r="E49" s="191">
        <f>CTP!E9</f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192">
        <v>0</v>
      </c>
      <c r="AD49" s="192">
        <v>0</v>
      </c>
      <c r="AE49" s="192">
        <v>0</v>
      </c>
      <c r="AF49" s="192">
        <v>0</v>
      </c>
      <c r="AG49" s="193">
        <v>0</v>
      </c>
      <c r="AH49" s="183"/>
      <c r="AI49" s="194">
        <f t="shared" si="45"/>
        <v>0</v>
      </c>
    </row>
    <row r="50" spans="1:35" ht="14.45" customHeight="1" x14ac:dyDescent="0.25">
      <c r="A50" s="252"/>
      <c r="B50" s="113" t="s">
        <v>98</v>
      </c>
      <c r="C50" s="186"/>
      <c r="E50" s="191">
        <f>CTP!E10</f>
        <v>25000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  <c r="Y50" s="192">
        <v>0</v>
      </c>
      <c r="Z50" s="192">
        <v>0</v>
      </c>
      <c r="AA50" s="192">
        <v>0</v>
      </c>
      <c r="AB50" s="192">
        <v>0</v>
      </c>
      <c r="AC50" s="192">
        <v>0</v>
      </c>
      <c r="AD50" s="192">
        <v>0</v>
      </c>
      <c r="AE50" s="192">
        <v>0</v>
      </c>
      <c r="AF50" s="192">
        <v>0</v>
      </c>
      <c r="AG50" s="193">
        <v>0</v>
      </c>
      <c r="AH50" s="183"/>
      <c r="AI50" s="194">
        <f t="shared" si="45"/>
        <v>25000</v>
      </c>
    </row>
    <row r="51" spans="1:35" ht="14.45" customHeight="1" x14ac:dyDescent="0.25">
      <c r="A51" s="252"/>
      <c r="B51" s="113" t="s">
        <v>135</v>
      </c>
      <c r="C51" s="186"/>
      <c r="E51" s="191">
        <f>Parametros!$C$128</f>
        <v>0</v>
      </c>
      <c r="F51" s="192">
        <f>Parametros!$C$128</f>
        <v>0</v>
      </c>
      <c r="G51" s="192">
        <f>Parametros!$C$128</f>
        <v>0</v>
      </c>
      <c r="H51" s="192">
        <f>Parametros!$C$128</f>
        <v>0</v>
      </c>
      <c r="I51" s="192">
        <f>Parametros!$C$128</f>
        <v>0</v>
      </c>
      <c r="J51" s="192">
        <f>Parametros!$C$128</f>
        <v>0</v>
      </c>
      <c r="K51" s="192">
        <f>Parametros!$C$128</f>
        <v>0</v>
      </c>
      <c r="L51" s="192">
        <f>Parametros!$C$128</f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2">
        <v>0</v>
      </c>
      <c r="AF51" s="192">
        <v>0</v>
      </c>
      <c r="AG51" s="193">
        <v>0</v>
      </c>
      <c r="AH51" s="183"/>
      <c r="AI51" s="194">
        <f t="shared" si="45"/>
        <v>0</v>
      </c>
    </row>
    <row r="52" spans="1:35" ht="14.45" customHeight="1" x14ac:dyDescent="0.25">
      <c r="A52" s="252"/>
      <c r="B52" s="30" t="s">
        <v>118</v>
      </c>
      <c r="C52" s="186"/>
      <c r="E52" s="191">
        <f>-IPMT(Parametros!$C$55,1,Parametros!$C$53,(SUM(CTP!$E$4,CTP!$E$6:$E$9))*Parametros!$C$52)</f>
        <v>1470</v>
      </c>
      <c r="F52" s="228">
        <f>-IPMT(Parametros!$C$55,2,Parametros!$C$53,(SUM(CTP!$E$4,CTP!$E$6:$E$9))*Parametros!$C$52)</f>
        <v>1229.2177032317243</v>
      </c>
      <c r="G52" s="228">
        <f>-IPMT(Parametros!$C$55,3,Parametros!$C$53,(SUM(CTP!$E$4,CTP!$E$6:$E$9))*Parametros!$C$52)</f>
        <v>964.35717678662081</v>
      </c>
      <c r="H52" s="228">
        <f>-IPMT(Parametros!$C$55,4,Parametros!$C$53,(SUM(CTP!$E$4,CTP!$E$6:$E$9))*Parametros!$C$52)</f>
        <v>673.01059769700737</v>
      </c>
      <c r="I52" s="228">
        <f>-IPMT(Parametros!$C$55,5,Parametros!$C$53,(SUM(CTP!$E$4,CTP!$E$6:$E$9))*Parametros!$C$52)</f>
        <v>352.52936069843241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196">
        <v>0</v>
      </c>
      <c r="AF52" s="196">
        <v>0</v>
      </c>
      <c r="AG52" s="197">
        <v>0</v>
      </c>
      <c r="AH52" s="183"/>
      <c r="AI52" s="198">
        <f t="shared" si="45"/>
        <v>4689.1148384137841</v>
      </c>
    </row>
    <row r="53" spans="1:35" ht="14.45" customHeight="1" x14ac:dyDescent="0.25">
      <c r="A53" s="251" t="s">
        <v>20</v>
      </c>
      <c r="B53" s="113" t="s">
        <v>54</v>
      </c>
      <c r="C53" s="186"/>
      <c r="E53" s="187">
        <f>SUM(Parametros!$C$20:$C$22)*Parametros!$C$41</f>
        <v>9820.2446361729235</v>
      </c>
      <c r="F53" s="188">
        <f>SUM(Parametros!$C$20:$C$22)*Parametros!$C$41</f>
        <v>9820.2446361729235</v>
      </c>
      <c r="G53" s="188">
        <f>SUM(Parametros!$C$20:$C$22)*Parametros!$C$41</f>
        <v>9820.2446361729235</v>
      </c>
      <c r="H53" s="188">
        <f>SUM(Parametros!$C$20:$C$22)*Parametros!$C$41</f>
        <v>9820.2446361729235</v>
      </c>
      <c r="I53" s="188">
        <f>SUM(Parametros!$C$20:$C$22)*Parametros!$C$41</f>
        <v>9820.2446361729235</v>
      </c>
      <c r="J53" s="188">
        <f>SUM(Parametros!$C$20:$C$22)*Parametros!$C$41</f>
        <v>9820.2446361729235</v>
      </c>
      <c r="K53" s="188">
        <f>SUM(Parametros!$C$20:$C$22)*Parametros!$C$41</f>
        <v>9820.2446361729235</v>
      </c>
      <c r="L53" s="188">
        <f>SUM(Parametros!$C$20:$C$22)*Parametros!$C$41</f>
        <v>9820.2446361729235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88">
        <v>0</v>
      </c>
      <c r="AD53" s="188">
        <v>0</v>
      </c>
      <c r="AE53" s="188">
        <v>0</v>
      </c>
      <c r="AF53" s="188">
        <v>0</v>
      </c>
      <c r="AG53" s="189">
        <v>0</v>
      </c>
      <c r="AH53" s="183"/>
      <c r="AI53" s="190">
        <f t="shared" si="45"/>
        <v>78561.957089383388</v>
      </c>
    </row>
    <row r="54" spans="1:35" ht="14.45" customHeight="1" x14ac:dyDescent="0.25">
      <c r="A54" s="253"/>
      <c r="B54" s="30" t="s">
        <v>119</v>
      </c>
      <c r="C54" s="186"/>
      <c r="E54" s="191">
        <f>Parametros!I80</f>
        <v>1556.6400000000003</v>
      </c>
      <c r="F54" s="228">
        <f>Parametros!I81</f>
        <v>1556.6400000000003</v>
      </c>
      <c r="G54" s="228">
        <f>Parametros!I82</f>
        <v>1556.6400000000003</v>
      </c>
      <c r="H54" s="228">
        <f>Parametros!I83</f>
        <v>1556.6400000000003</v>
      </c>
      <c r="I54" s="228">
        <f>Parametros!I84</f>
        <v>1556.6400000000003</v>
      </c>
      <c r="J54" s="192">
        <f>Parametros!I85</f>
        <v>1556.6400000000003</v>
      </c>
      <c r="K54" s="192">
        <f>Parametros!I86</f>
        <v>1556.6400000000003</v>
      </c>
      <c r="L54" s="192">
        <f>Parametros!I87</f>
        <v>1556.6400000000003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3">
        <v>0</v>
      </c>
      <c r="AH54" s="183"/>
      <c r="AI54" s="194">
        <f>+SUM(E54:AG54)</f>
        <v>12453.120000000003</v>
      </c>
    </row>
    <row r="55" spans="1:35" ht="14.45" customHeight="1" x14ac:dyDescent="0.25">
      <c r="A55" s="70" t="s">
        <v>140</v>
      </c>
      <c r="B55" s="71" t="s">
        <v>121</v>
      </c>
      <c r="C55" s="186"/>
      <c r="E55" s="226">
        <f>Parametros!$C$135*Parametros!$C$41*Parametros!$C$19/1000*Parametros!$C$136</f>
        <v>17.664000000000005</v>
      </c>
      <c r="F55" s="227">
        <f>Parametros!$C$135*Parametros!$C$41*Parametros!$C$19/1000*Parametros!$C$136</f>
        <v>17.664000000000005</v>
      </c>
      <c r="G55" s="227">
        <f>Parametros!$C$135*Parametros!$C$41*Parametros!$C$19/1000*Parametros!$C$136</f>
        <v>17.664000000000005</v>
      </c>
      <c r="H55" s="227">
        <f>Parametros!$C$135*Parametros!$C$41*Parametros!$C$19/1000*Parametros!$C$136</f>
        <v>17.664000000000005</v>
      </c>
      <c r="I55" s="227">
        <f>Parametros!$C$135*Parametros!$C$41*Parametros!$C$19/1000*Parametros!$C$136</f>
        <v>17.664000000000005</v>
      </c>
      <c r="J55" s="199">
        <f>Parametros!$C$135*Parametros!$C$41*Parametros!$C$19/1000*Parametros!$C$136</f>
        <v>17.664000000000005</v>
      </c>
      <c r="K55" s="199">
        <f>Parametros!$C$135*Parametros!$C$41*Parametros!$C$19/1000*Parametros!$C$136</f>
        <v>17.664000000000005</v>
      </c>
      <c r="L55" s="199">
        <f>Parametros!$C$135*Parametros!$C$41*Parametros!$C$19/1000*Parametros!$C$136</f>
        <v>17.664000000000005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  <c r="AE55" s="199">
        <v>0</v>
      </c>
      <c r="AF55" s="199">
        <v>0</v>
      </c>
      <c r="AG55" s="200">
        <v>0</v>
      </c>
      <c r="AH55" s="183"/>
      <c r="AI55" s="198">
        <f>+SUM(E55:AG55)</f>
        <v>141.31200000000004</v>
      </c>
    </row>
    <row r="56" spans="1:35" ht="14.45" customHeight="1" x14ac:dyDescent="0.25">
      <c r="B56" s="181" t="s">
        <v>219</v>
      </c>
      <c r="C56" s="186"/>
      <c r="E56" s="201">
        <f t="shared" ref="E56:AG56" si="46">SUM(E44:E55)</f>
        <v>60864.54863617292</v>
      </c>
      <c r="F56" s="201">
        <f t="shared" si="46"/>
        <v>12623.76633940465</v>
      </c>
      <c r="G56" s="201">
        <f t="shared" si="46"/>
        <v>12358.905812959547</v>
      </c>
      <c r="H56" s="201">
        <f t="shared" si="46"/>
        <v>12067.559233869932</v>
      </c>
      <c r="I56" s="201">
        <f t="shared" si="46"/>
        <v>11747.077996871358</v>
      </c>
      <c r="J56" s="201">
        <f t="shared" si="46"/>
        <v>11394.548636172924</v>
      </c>
      <c r="K56" s="201">
        <f t="shared" si="46"/>
        <v>11394.548636172924</v>
      </c>
      <c r="L56" s="201">
        <f t="shared" si="46"/>
        <v>11394.548636172924</v>
      </c>
      <c r="M56" s="201">
        <f t="shared" si="46"/>
        <v>0</v>
      </c>
      <c r="N56" s="201">
        <f t="shared" si="46"/>
        <v>0</v>
      </c>
      <c r="O56" s="201">
        <f t="shared" si="46"/>
        <v>0</v>
      </c>
      <c r="P56" s="201">
        <f t="shared" si="46"/>
        <v>0</v>
      </c>
      <c r="Q56" s="201">
        <f t="shared" si="46"/>
        <v>0</v>
      </c>
      <c r="R56" s="201">
        <f t="shared" si="46"/>
        <v>0</v>
      </c>
      <c r="S56" s="201">
        <f t="shared" si="46"/>
        <v>0</v>
      </c>
      <c r="T56" s="201">
        <f t="shared" si="46"/>
        <v>0</v>
      </c>
      <c r="U56" s="201">
        <f t="shared" si="46"/>
        <v>0</v>
      </c>
      <c r="V56" s="201">
        <f t="shared" si="46"/>
        <v>0</v>
      </c>
      <c r="W56" s="201">
        <f t="shared" si="46"/>
        <v>0</v>
      </c>
      <c r="X56" s="201">
        <f t="shared" si="46"/>
        <v>0</v>
      </c>
      <c r="Y56" s="201">
        <f t="shared" si="46"/>
        <v>0</v>
      </c>
      <c r="Z56" s="201">
        <f t="shared" si="46"/>
        <v>0</v>
      </c>
      <c r="AA56" s="201">
        <f t="shared" si="46"/>
        <v>0</v>
      </c>
      <c r="AB56" s="201">
        <f t="shared" si="46"/>
        <v>0</v>
      </c>
      <c r="AC56" s="201">
        <f t="shared" si="46"/>
        <v>0</v>
      </c>
      <c r="AD56" s="201">
        <f t="shared" si="46"/>
        <v>0</v>
      </c>
      <c r="AE56" s="201">
        <f t="shared" si="46"/>
        <v>0</v>
      </c>
      <c r="AF56" s="201">
        <f t="shared" si="46"/>
        <v>0</v>
      </c>
      <c r="AG56" s="201">
        <f t="shared" si="46"/>
        <v>0</v>
      </c>
      <c r="AH56" s="183"/>
      <c r="AI56" s="202">
        <f>+SUM(E56:AG56)</f>
        <v>143845.5039277972</v>
      </c>
    </row>
    <row r="57" spans="1:35" ht="14.45" customHeight="1" x14ac:dyDescent="0.25">
      <c r="A57" s="183"/>
      <c r="C57" s="20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</row>
    <row r="58" spans="1:35" ht="14.45" customHeight="1" x14ac:dyDescent="0.25">
      <c r="C58" s="186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183"/>
      <c r="AI58" s="183"/>
    </row>
    <row r="59" spans="1:35" ht="14.45" customHeight="1" x14ac:dyDescent="0.25">
      <c r="A59" s="181" t="s">
        <v>220</v>
      </c>
      <c r="E59" s="205">
        <f t="shared" ref="E59:AG59" si="47">1/(1+$C$3)^E42</f>
        <v>1</v>
      </c>
      <c r="F59" s="205">
        <f t="shared" si="47"/>
        <v>1</v>
      </c>
      <c r="G59" s="205">
        <f t="shared" si="47"/>
        <v>1</v>
      </c>
      <c r="H59" s="205">
        <f t="shared" si="47"/>
        <v>1</v>
      </c>
      <c r="I59" s="205">
        <f t="shared" si="47"/>
        <v>1</v>
      </c>
      <c r="J59" s="205">
        <f t="shared" si="47"/>
        <v>1</v>
      </c>
      <c r="K59" s="205">
        <f t="shared" si="47"/>
        <v>1</v>
      </c>
      <c r="L59" s="205">
        <f t="shared" si="47"/>
        <v>1</v>
      </c>
      <c r="M59" s="205">
        <f t="shared" si="47"/>
        <v>1</v>
      </c>
      <c r="N59" s="205">
        <f t="shared" si="47"/>
        <v>1</v>
      </c>
      <c r="O59" s="205">
        <f t="shared" si="47"/>
        <v>1</v>
      </c>
      <c r="P59" s="205">
        <f t="shared" si="47"/>
        <v>1</v>
      </c>
      <c r="Q59" s="205">
        <f t="shared" si="47"/>
        <v>1</v>
      </c>
      <c r="R59" s="205">
        <f t="shared" si="47"/>
        <v>1</v>
      </c>
      <c r="S59" s="205">
        <f t="shared" si="47"/>
        <v>1</v>
      </c>
      <c r="T59" s="205">
        <f t="shared" si="47"/>
        <v>1</v>
      </c>
      <c r="U59" s="205">
        <f t="shared" si="47"/>
        <v>1</v>
      </c>
      <c r="V59" s="205">
        <f t="shared" si="47"/>
        <v>1</v>
      </c>
      <c r="W59" s="205">
        <f t="shared" si="47"/>
        <v>1</v>
      </c>
      <c r="X59" s="205">
        <f t="shared" si="47"/>
        <v>1</v>
      </c>
      <c r="Y59" s="205">
        <f t="shared" si="47"/>
        <v>1</v>
      </c>
      <c r="Z59" s="205">
        <f t="shared" si="47"/>
        <v>1</v>
      </c>
      <c r="AA59" s="205">
        <f t="shared" si="47"/>
        <v>1</v>
      </c>
      <c r="AB59" s="205">
        <f t="shared" si="47"/>
        <v>1</v>
      </c>
      <c r="AC59" s="205">
        <f t="shared" si="47"/>
        <v>1</v>
      </c>
      <c r="AD59" s="205">
        <f t="shared" si="47"/>
        <v>1</v>
      </c>
      <c r="AE59" s="205">
        <f t="shared" si="47"/>
        <v>1</v>
      </c>
      <c r="AF59" s="205">
        <f t="shared" si="47"/>
        <v>1</v>
      </c>
      <c r="AG59" s="205">
        <f t="shared" si="47"/>
        <v>1</v>
      </c>
      <c r="AH59" s="183"/>
      <c r="AI59" s="183"/>
    </row>
    <row r="60" spans="1:35" ht="14.45" customHeight="1" x14ac:dyDescent="0.25">
      <c r="C60" s="206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183"/>
      <c r="AI60" s="183"/>
    </row>
    <row r="61" spans="1:35" ht="14.45" customHeight="1" x14ac:dyDescent="0.25">
      <c r="A61" s="257" t="s">
        <v>221</v>
      </c>
      <c r="B61" s="257"/>
      <c r="C61" s="181" t="s">
        <v>3</v>
      </c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</row>
    <row r="62" spans="1:35" ht="14.45" customHeight="1" x14ac:dyDescent="0.25">
      <c r="A62" s="251" t="s">
        <v>18</v>
      </c>
      <c r="B62" s="29" t="s">
        <v>189</v>
      </c>
      <c r="C62" s="186"/>
      <c r="E62" s="207">
        <f t="shared" ref="E62:AG62" si="48">+E44*E$22</f>
        <v>20000</v>
      </c>
      <c r="F62" s="208">
        <f t="shared" si="48"/>
        <v>0</v>
      </c>
      <c r="G62" s="208">
        <f t="shared" si="48"/>
        <v>0</v>
      </c>
      <c r="H62" s="208">
        <f t="shared" si="48"/>
        <v>0</v>
      </c>
      <c r="I62" s="208">
        <f t="shared" si="48"/>
        <v>0</v>
      </c>
      <c r="J62" s="208">
        <f t="shared" si="48"/>
        <v>0</v>
      </c>
      <c r="K62" s="208">
        <f t="shared" si="48"/>
        <v>0</v>
      </c>
      <c r="L62" s="208">
        <f t="shared" si="48"/>
        <v>0</v>
      </c>
      <c r="M62" s="208">
        <f t="shared" si="48"/>
        <v>0</v>
      </c>
      <c r="N62" s="208">
        <f t="shared" si="48"/>
        <v>0</v>
      </c>
      <c r="O62" s="208">
        <f t="shared" si="48"/>
        <v>0</v>
      </c>
      <c r="P62" s="208">
        <f t="shared" si="48"/>
        <v>0</v>
      </c>
      <c r="Q62" s="208">
        <f t="shared" si="48"/>
        <v>0</v>
      </c>
      <c r="R62" s="208">
        <f t="shared" si="48"/>
        <v>0</v>
      </c>
      <c r="S62" s="208">
        <f t="shared" si="48"/>
        <v>0</v>
      </c>
      <c r="T62" s="208">
        <f t="shared" si="48"/>
        <v>0</v>
      </c>
      <c r="U62" s="208">
        <f t="shared" si="48"/>
        <v>0</v>
      </c>
      <c r="V62" s="208">
        <f t="shared" si="48"/>
        <v>0</v>
      </c>
      <c r="W62" s="208">
        <f t="shared" si="48"/>
        <v>0</v>
      </c>
      <c r="X62" s="208">
        <f t="shared" si="48"/>
        <v>0</v>
      </c>
      <c r="Y62" s="208">
        <f t="shared" si="48"/>
        <v>0</v>
      </c>
      <c r="Z62" s="208">
        <f t="shared" si="48"/>
        <v>0</v>
      </c>
      <c r="AA62" s="208">
        <f t="shared" si="48"/>
        <v>0</v>
      </c>
      <c r="AB62" s="208">
        <f t="shared" si="48"/>
        <v>0</v>
      </c>
      <c r="AC62" s="208">
        <f t="shared" si="48"/>
        <v>0</v>
      </c>
      <c r="AD62" s="208">
        <f t="shared" si="48"/>
        <v>0</v>
      </c>
      <c r="AE62" s="208">
        <f t="shared" si="48"/>
        <v>0</v>
      </c>
      <c r="AF62" s="208">
        <f t="shared" si="48"/>
        <v>0</v>
      </c>
      <c r="AG62" s="209">
        <f t="shared" si="48"/>
        <v>0</v>
      </c>
      <c r="AH62" s="183"/>
      <c r="AI62" s="210">
        <f t="shared" ref="AI62:AI73" si="49">+SUM(E62:AG62)</f>
        <v>20000</v>
      </c>
    </row>
    <row r="63" spans="1:35" ht="14.45" customHeight="1" x14ac:dyDescent="0.25">
      <c r="A63" s="253"/>
      <c r="B63" s="113" t="s">
        <v>110</v>
      </c>
      <c r="C63" s="186"/>
      <c r="E63" s="215">
        <f t="shared" ref="E63:AG63" si="50">+E45*E$22</f>
        <v>2000</v>
      </c>
      <c r="F63" s="216">
        <f t="shared" si="50"/>
        <v>0</v>
      </c>
      <c r="G63" s="216">
        <f t="shared" si="50"/>
        <v>0</v>
      </c>
      <c r="H63" s="216">
        <f t="shared" si="50"/>
        <v>0</v>
      </c>
      <c r="I63" s="216">
        <f t="shared" si="50"/>
        <v>0</v>
      </c>
      <c r="J63" s="216">
        <f t="shared" si="50"/>
        <v>0</v>
      </c>
      <c r="K63" s="216">
        <f t="shared" si="50"/>
        <v>0</v>
      </c>
      <c r="L63" s="216">
        <f t="shared" si="50"/>
        <v>0</v>
      </c>
      <c r="M63" s="216">
        <f t="shared" si="50"/>
        <v>0</v>
      </c>
      <c r="N63" s="216">
        <f t="shared" si="50"/>
        <v>0</v>
      </c>
      <c r="O63" s="216">
        <f t="shared" si="50"/>
        <v>0</v>
      </c>
      <c r="P63" s="216">
        <f t="shared" si="50"/>
        <v>0</v>
      </c>
      <c r="Q63" s="216">
        <f t="shared" si="50"/>
        <v>0</v>
      </c>
      <c r="R63" s="216">
        <f t="shared" si="50"/>
        <v>0</v>
      </c>
      <c r="S63" s="216">
        <f t="shared" si="50"/>
        <v>0</v>
      </c>
      <c r="T63" s="216">
        <f t="shared" si="50"/>
        <v>0</v>
      </c>
      <c r="U63" s="216">
        <f t="shared" si="50"/>
        <v>0</v>
      </c>
      <c r="V63" s="216">
        <f t="shared" si="50"/>
        <v>0</v>
      </c>
      <c r="W63" s="216">
        <f t="shared" si="50"/>
        <v>0</v>
      </c>
      <c r="X63" s="216">
        <f t="shared" si="50"/>
        <v>0</v>
      </c>
      <c r="Y63" s="216">
        <f t="shared" si="50"/>
        <v>0</v>
      </c>
      <c r="Z63" s="216">
        <f t="shared" si="50"/>
        <v>0</v>
      </c>
      <c r="AA63" s="216">
        <f t="shared" si="50"/>
        <v>0</v>
      </c>
      <c r="AB63" s="216">
        <f t="shared" si="50"/>
        <v>0</v>
      </c>
      <c r="AC63" s="216">
        <f t="shared" si="50"/>
        <v>0</v>
      </c>
      <c r="AD63" s="216">
        <f t="shared" si="50"/>
        <v>0</v>
      </c>
      <c r="AE63" s="216">
        <f t="shared" si="50"/>
        <v>0</v>
      </c>
      <c r="AF63" s="216">
        <f t="shared" si="50"/>
        <v>0</v>
      </c>
      <c r="AG63" s="217">
        <f t="shared" si="50"/>
        <v>0</v>
      </c>
      <c r="AH63" s="183"/>
      <c r="AI63" s="214">
        <f t="shared" si="49"/>
        <v>2000</v>
      </c>
    </row>
    <row r="64" spans="1:35" ht="14.45" customHeight="1" x14ac:dyDescent="0.25">
      <c r="A64" s="251" t="s">
        <v>19</v>
      </c>
      <c r="B64" s="29" t="s">
        <v>95</v>
      </c>
      <c r="C64" s="186"/>
      <c r="E64" s="207">
        <f t="shared" ref="E64:AG64" si="51">+E46*E$22</f>
        <v>1000</v>
      </c>
      <c r="F64" s="208">
        <f t="shared" si="51"/>
        <v>0</v>
      </c>
      <c r="G64" s="208">
        <f t="shared" si="51"/>
        <v>0</v>
      </c>
      <c r="H64" s="208">
        <f t="shared" si="51"/>
        <v>0</v>
      </c>
      <c r="I64" s="208">
        <f t="shared" si="51"/>
        <v>0</v>
      </c>
      <c r="J64" s="208">
        <f t="shared" si="51"/>
        <v>0</v>
      </c>
      <c r="K64" s="208">
        <f t="shared" si="51"/>
        <v>0</v>
      </c>
      <c r="L64" s="208">
        <f t="shared" si="51"/>
        <v>0</v>
      </c>
      <c r="M64" s="208">
        <f t="shared" si="51"/>
        <v>0</v>
      </c>
      <c r="N64" s="208">
        <f t="shared" si="51"/>
        <v>0</v>
      </c>
      <c r="O64" s="208">
        <f t="shared" si="51"/>
        <v>0</v>
      </c>
      <c r="P64" s="208">
        <f t="shared" si="51"/>
        <v>0</v>
      </c>
      <c r="Q64" s="208">
        <f t="shared" si="51"/>
        <v>0</v>
      </c>
      <c r="R64" s="208">
        <f t="shared" si="51"/>
        <v>0</v>
      </c>
      <c r="S64" s="208">
        <f t="shared" si="51"/>
        <v>0</v>
      </c>
      <c r="T64" s="208">
        <f t="shared" si="51"/>
        <v>0</v>
      </c>
      <c r="U64" s="208">
        <f t="shared" si="51"/>
        <v>0</v>
      </c>
      <c r="V64" s="208">
        <f t="shared" si="51"/>
        <v>0</v>
      </c>
      <c r="W64" s="208">
        <f t="shared" si="51"/>
        <v>0</v>
      </c>
      <c r="X64" s="208">
        <f t="shared" si="51"/>
        <v>0</v>
      </c>
      <c r="Y64" s="208">
        <f t="shared" si="51"/>
        <v>0</v>
      </c>
      <c r="Z64" s="208">
        <f t="shared" si="51"/>
        <v>0</v>
      </c>
      <c r="AA64" s="208">
        <f t="shared" si="51"/>
        <v>0</v>
      </c>
      <c r="AB64" s="208">
        <f t="shared" si="51"/>
        <v>0</v>
      </c>
      <c r="AC64" s="208">
        <f t="shared" si="51"/>
        <v>0</v>
      </c>
      <c r="AD64" s="208">
        <f t="shared" si="51"/>
        <v>0</v>
      </c>
      <c r="AE64" s="208">
        <f t="shared" si="51"/>
        <v>0</v>
      </c>
      <c r="AF64" s="208">
        <f t="shared" si="51"/>
        <v>0</v>
      </c>
      <c r="AG64" s="209">
        <f t="shared" si="51"/>
        <v>0</v>
      </c>
      <c r="AH64" s="183"/>
      <c r="AI64" s="214">
        <f t="shared" si="49"/>
        <v>1000</v>
      </c>
    </row>
    <row r="65" spans="1:35" ht="14.45" customHeight="1" x14ac:dyDescent="0.25">
      <c r="A65" s="252"/>
      <c r="B65" s="116" t="s">
        <v>133</v>
      </c>
      <c r="C65" s="186"/>
      <c r="E65" s="211">
        <f t="shared" ref="E65:AG65" si="52">+E47*E$22</f>
        <v>0</v>
      </c>
      <c r="F65" s="212">
        <f t="shared" si="52"/>
        <v>0</v>
      </c>
      <c r="G65" s="212">
        <f t="shared" si="52"/>
        <v>0</v>
      </c>
      <c r="H65" s="212">
        <f t="shared" si="52"/>
        <v>0</v>
      </c>
      <c r="I65" s="212">
        <f t="shared" si="52"/>
        <v>0</v>
      </c>
      <c r="J65" s="212">
        <f t="shared" si="52"/>
        <v>0</v>
      </c>
      <c r="K65" s="212">
        <f t="shared" si="52"/>
        <v>0</v>
      </c>
      <c r="L65" s="212">
        <f t="shared" si="52"/>
        <v>0</v>
      </c>
      <c r="M65" s="212">
        <f t="shared" si="52"/>
        <v>0</v>
      </c>
      <c r="N65" s="212">
        <f t="shared" si="52"/>
        <v>0</v>
      </c>
      <c r="O65" s="212">
        <f t="shared" si="52"/>
        <v>0</v>
      </c>
      <c r="P65" s="212">
        <f t="shared" si="52"/>
        <v>0</v>
      </c>
      <c r="Q65" s="212">
        <f t="shared" si="52"/>
        <v>0</v>
      </c>
      <c r="R65" s="212">
        <f t="shared" si="52"/>
        <v>0</v>
      </c>
      <c r="S65" s="212">
        <f t="shared" si="52"/>
        <v>0</v>
      </c>
      <c r="T65" s="212">
        <f t="shared" si="52"/>
        <v>0</v>
      </c>
      <c r="U65" s="212">
        <f t="shared" si="52"/>
        <v>0</v>
      </c>
      <c r="V65" s="212">
        <f t="shared" si="52"/>
        <v>0</v>
      </c>
      <c r="W65" s="212">
        <f t="shared" si="52"/>
        <v>0</v>
      </c>
      <c r="X65" s="212">
        <f t="shared" si="52"/>
        <v>0</v>
      </c>
      <c r="Y65" s="212">
        <f t="shared" si="52"/>
        <v>0</v>
      </c>
      <c r="Z65" s="212">
        <f t="shared" si="52"/>
        <v>0</v>
      </c>
      <c r="AA65" s="212">
        <f t="shared" si="52"/>
        <v>0</v>
      </c>
      <c r="AB65" s="212">
        <f t="shared" si="52"/>
        <v>0</v>
      </c>
      <c r="AC65" s="212">
        <f t="shared" si="52"/>
        <v>0</v>
      </c>
      <c r="AD65" s="212">
        <f t="shared" si="52"/>
        <v>0</v>
      </c>
      <c r="AE65" s="212">
        <f t="shared" si="52"/>
        <v>0</v>
      </c>
      <c r="AF65" s="212">
        <f t="shared" si="52"/>
        <v>0</v>
      </c>
      <c r="AG65" s="213">
        <f t="shared" si="52"/>
        <v>0</v>
      </c>
      <c r="AH65" s="183"/>
      <c r="AI65" s="214">
        <f t="shared" si="49"/>
        <v>0</v>
      </c>
    </row>
    <row r="66" spans="1:35" ht="14.45" customHeight="1" x14ac:dyDescent="0.25">
      <c r="A66" s="252"/>
      <c r="B66" s="116" t="s">
        <v>96</v>
      </c>
      <c r="C66" s="186"/>
      <c r="E66" s="211">
        <f t="shared" ref="E66:AG66" si="53">+E48*E$22</f>
        <v>0</v>
      </c>
      <c r="F66" s="212">
        <f t="shared" si="53"/>
        <v>0</v>
      </c>
      <c r="G66" s="212">
        <f t="shared" si="53"/>
        <v>0</v>
      </c>
      <c r="H66" s="212">
        <f t="shared" si="53"/>
        <v>0</v>
      </c>
      <c r="I66" s="212">
        <f t="shared" si="53"/>
        <v>0</v>
      </c>
      <c r="J66" s="212">
        <f t="shared" si="53"/>
        <v>0</v>
      </c>
      <c r="K66" s="212">
        <f t="shared" si="53"/>
        <v>0</v>
      </c>
      <c r="L66" s="212">
        <f t="shared" si="53"/>
        <v>0</v>
      </c>
      <c r="M66" s="212">
        <f t="shared" si="53"/>
        <v>0</v>
      </c>
      <c r="N66" s="212">
        <f t="shared" si="53"/>
        <v>0</v>
      </c>
      <c r="O66" s="212">
        <f t="shared" si="53"/>
        <v>0</v>
      </c>
      <c r="P66" s="212">
        <f t="shared" si="53"/>
        <v>0</v>
      </c>
      <c r="Q66" s="212">
        <f t="shared" si="53"/>
        <v>0</v>
      </c>
      <c r="R66" s="212">
        <f t="shared" si="53"/>
        <v>0</v>
      </c>
      <c r="S66" s="212">
        <f t="shared" si="53"/>
        <v>0</v>
      </c>
      <c r="T66" s="212">
        <f t="shared" si="53"/>
        <v>0</v>
      </c>
      <c r="U66" s="212">
        <f t="shared" si="53"/>
        <v>0</v>
      </c>
      <c r="V66" s="212">
        <f t="shared" si="53"/>
        <v>0</v>
      </c>
      <c r="W66" s="212">
        <f t="shared" si="53"/>
        <v>0</v>
      </c>
      <c r="X66" s="212">
        <f t="shared" si="53"/>
        <v>0</v>
      </c>
      <c r="Y66" s="212">
        <f t="shared" si="53"/>
        <v>0</v>
      </c>
      <c r="Z66" s="212">
        <f t="shared" si="53"/>
        <v>0</v>
      </c>
      <c r="AA66" s="212">
        <f t="shared" si="53"/>
        <v>0</v>
      </c>
      <c r="AB66" s="212">
        <f t="shared" si="53"/>
        <v>0</v>
      </c>
      <c r="AC66" s="212">
        <f t="shared" si="53"/>
        <v>0</v>
      </c>
      <c r="AD66" s="212">
        <f t="shared" si="53"/>
        <v>0</v>
      </c>
      <c r="AE66" s="212">
        <f t="shared" si="53"/>
        <v>0</v>
      </c>
      <c r="AF66" s="212">
        <f t="shared" si="53"/>
        <v>0</v>
      </c>
      <c r="AG66" s="213">
        <f t="shared" si="53"/>
        <v>0</v>
      </c>
      <c r="AH66" s="183"/>
      <c r="AI66" s="218">
        <f t="shared" si="49"/>
        <v>0</v>
      </c>
    </row>
    <row r="67" spans="1:35" ht="14.45" customHeight="1" x14ac:dyDescent="0.25">
      <c r="A67" s="252"/>
      <c r="B67" s="113" t="s">
        <v>134</v>
      </c>
      <c r="C67" s="186"/>
      <c r="E67" s="211">
        <f t="shared" ref="E67:AG67" si="54">+E49*E$22</f>
        <v>0</v>
      </c>
      <c r="F67" s="212">
        <f t="shared" si="54"/>
        <v>0</v>
      </c>
      <c r="G67" s="212">
        <f t="shared" si="54"/>
        <v>0</v>
      </c>
      <c r="H67" s="212">
        <f t="shared" si="54"/>
        <v>0</v>
      </c>
      <c r="I67" s="212">
        <f t="shared" si="54"/>
        <v>0</v>
      </c>
      <c r="J67" s="212">
        <f t="shared" si="54"/>
        <v>0</v>
      </c>
      <c r="K67" s="212">
        <f t="shared" si="54"/>
        <v>0</v>
      </c>
      <c r="L67" s="212">
        <f t="shared" si="54"/>
        <v>0</v>
      </c>
      <c r="M67" s="212">
        <f t="shared" si="54"/>
        <v>0</v>
      </c>
      <c r="N67" s="212">
        <f t="shared" si="54"/>
        <v>0</v>
      </c>
      <c r="O67" s="212">
        <f t="shared" si="54"/>
        <v>0</v>
      </c>
      <c r="P67" s="212">
        <f t="shared" si="54"/>
        <v>0</v>
      </c>
      <c r="Q67" s="212">
        <f t="shared" si="54"/>
        <v>0</v>
      </c>
      <c r="R67" s="212">
        <f t="shared" si="54"/>
        <v>0</v>
      </c>
      <c r="S67" s="212">
        <f t="shared" si="54"/>
        <v>0</v>
      </c>
      <c r="T67" s="212">
        <f t="shared" si="54"/>
        <v>0</v>
      </c>
      <c r="U67" s="212">
        <f t="shared" si="54"/>
        <v>0</v>
      </c>
      <c r="V67" s="212">
        <f t="shared" si="54"/>
        <v>0</v>
      </c>
      <c r="W67" s="212">
        <f t="shared" si="54"/>
        <v>0</v>
      </c>
      <c r="X67" s="212">
        <f t="shared" si="54"/>
        <v>0</v>
      </c>
      <c r="Y67" s="212">
        <f t="shared" si="54"/>
        <v>0</v>
      </c>
      <c r="Z67" s="212">
        <f t="shared" si="54"/>
        <v>0</v>
      </c>
      <c r="AA67" s="212">
        <f t="shared" si="54"/>
        <v>0</v>
      </c>
      <c r="AB67" s="212">
        <f t="shared" si="54"/>
        <v>0</v>
      </c>
      <c r="AC67" s="212">
        <f t="shared" si="54"/>
        <v>0</v>
      </c>
      <c r="AD67" s="212">
        <f t="shared" si="54"/>
        <v>0</v>
      </c>
      <c r="AE67" s="212">
        <f t="shared" si="54"/>
        <v>0</v>
      </c>
      <c r="AF67" s="212">
        <f t="shared" si="54"/>
        <v>0</v>
      </c>
      <c r="AG67" s="213">
        <f t="shared" si="54"/>
        <v>0</v>
      </c>
      <c r="AH67" s="183"/>
      <c r="AI67" s="210">
        <f t="shared" si="49"/>
        <v>0</v>
      </c>
    </row>
    <row r="68" spans="1:35" ht="14.45" customHeight="1" x14ac:dyDescent="0.25">
      <c r="A68" s="252"/>
      <c r="B68" s="113" t="s">
        <v>98</v>
      </c>
      <c r="C68" s="186"/>
      <c r="E68" s="211">
        <f t="shared" ref="E68:AG68" si="55">+E50*E$22</f>
        <v>25000</v>
      </c>
      <c r="F68" s="212">
        <f t="shared" si="55"/>
        <v>0</v>
      </c>
      <c r="G68" s="212">
        <f t="shared" si="55"/>
        <v>0</v>
      </c>
      <c r="H68" s="212">
        <f t="shared" si="55"/>
        <v>0</v>
      </c>
      <c r="I68" s="212">
        <f t="shared" si="55"/>
        <v>0</v>
      </c>
      <c r="J68" s="212">
        <f t="shared" si="55"/>
        <v>0</v>
      </c>
      <c r="K68" s="212">
        <f t="shared" si="55"/>
        <v>0</v>
      </c>
      <c r="L68" s="212">
        <f t="shared" si="55"/>
        <v>0</v>
      </c>
      <c r="M68" s="212">
        <f t="shared" si="55"/>
        <v>0</v>
      </c>
      <c r="N68" s="212">
        <f t="shared" si="55"/>
        <v>0</v>
      </c>
      <c r="O68" s="212">
        <f t="shared" si="55"/>
        <v>0</v>
      </c>
      <c r="P68" s="212">
        <f t="shared" si="55"/>
        <v>0</v>
      </c>
      <c r="Q68" s="212">
        <f t="shared" si="55"/>
        <v>0</v>
      </c>
      <c r="R68" s="212">
        <f t="shared" si="55"/>
        <v>0</v>
      </c>
      <c r="S68" s="212">
        <f t="shared" si="55"/>
        <v>0</v>
      </c>
      <c r="T68" s="212">
        <f t="shared" si="55"/>
        <v>0</v>
      </c>
      <c r="U68" s="212">
        <f t="shared" si="55"/>
        <v>0</v>
      </c>
      <c r="V68" s="212">
        <f t="shared" si="55"/>
        <v>0</v>
      </c>
      <c r="W68" s="212">
        <f t="shared" si="55"/>
        <v>0</v>
      </c>
      <c r="X68" s="212">
        <f t="shared" si="55"/>
        <v>0</v>
      </c>
      <c r="Y68" s="212">
        <f t="shared" si="55"/>
        <v>0</v>
      </c>
      <c r="Z68" s="212">
        <f t="shared" si="55"/>
        <v>0</v>
      </c>
      <c r="AA68" s="212">
        <f t="shared" si="55"/>
        <v>0</v>
      </c>
      <c r="AB68" s="212">
        <f t="shared" si="55"/>
        <v>0</v>
      </c>
      <c r="AC68" s="212">
        <f t="shared" si="55"/>
        <v>0</v>
      </c>
      <c r="AD68" s="212">
        <f t="shared" si="55"/>
        <v>0</v>
      </c>
      <c r="AE68" s="212">
        <f t="shared" si="55"/>
        <v>0</v>
      </c>
      <c r="AF68" s="212">
        <f t="shared" si="55"/>
        <v>0</v>
      </c>
      <c r="AG68" s="213">
        <f t="shared" si="55"/>
        <v>0</v>
      </c>
      <c r="AH68" s="183"/>
      <c r="AI68" s="214">
        <f t="shared" si="49"/>
        <v>25000</v>
      </c>
    </row>
    <row r="69" spans="1:35" ht="14.45" customHeight="1" x14ac:dyDescent="0.25">
      <c r="A69" s="252"/>
      <c r="B69" s="113" t="s">
        <v>135</v>
      </c>
      <c r="C69" s="206"/>
      <c r="E69" s="211">
        <f t="shared" ref="E69:AG69" si="56">+E51*E$22</f>
        <v>0</v>
      </c>
      <c r="F69" s="212">
        <f t="shared" si="56"/>
        <v>0</v>
      </c>
      <c r="G69" s="212">
        <f t="shared" si="56"/>
        <v>0</v>
      </c>
      <c r="H69" s="212">
        <f t="shared" si="56"/>
        <v>0</v>
      </c>
      <c r="I69" s="212">
        <f t="shared" si="56"/>
        <v>0</v>
      </c>
      <c r="J69" s="212">
        <f t="shared" si="56"/>
        <v>0</v>
      </c>
      <c r="K69" s="212">
        <f t="shared" si="56"/>
        <v>0</v>
      </c>
      <c r="L69" s="212">
        <f t="shared" si="56"/>
        <v>0</v>
      </c>
      <c r="M69" s="212">
        <f t="shared" si="56"/>
        <v>0</v>
      </c>
      <c r="N69" s="212">
        <f t="shared" si="56"/>
        <v>0</v>
      </c>
      <c r="O69" s="212">
        <f t="shared" si="56"/>
        <v>0</v>
      </c>
      <c r="P69" s="212">
        <f t="shared" si="56"/>
        <v>0</v>
      </c>
      <c r="Q69" s="212">
        <f t="shared" si="56"/>
        <v>0</v>
      </c>
      <c r="R69" s="212">
        <f t="shared" si="56"/>
        <v>0</v>
      </c>
      <c r="S69" s="212">
        <f t="shared" si="56"/>
        <v>0</v>
      </c>
      <c r="T69" s="212">
        <f t="shared" si="56"/>
        <v>0</v>
      </c>
      <c r="U69" s="212">
        <f t="shared" si="56"/>
        <v>0</v>
      </c>
      <c r="V69" s="212">
        <f t="shared" si="56"/>
        <v>0</v>
      </c>
      <c r="W69" s="212">
        <f t="shared" si="56"/>
        <v>0</v>
      </c>
      <c r="X69" s="212">
        <f t="shared" si="56"/>
        <v>0</v>
      </c>
      <c r="Y69" s="212">
        <f t="shared" si="56"/>
        <v>0</v>
      </c>
      <c r="Z69" s="212">
        <f t="shared" si="56"/>
        <v>0</v>
      </c>
      <c r="AA69" s="212">
        <f t="shared" si="56"/>
        <v>0</v>
      </c>
      <c r="AB69" s="212">
        <f t="shared" si="56"/>
        <v>0</v>
      </c>
      <c r="AC69" s="212">
        <f t="shared" si="56"/>
        <v>0</v>
      </c>
      <c r="AD69" s="212">
        <f t="shared" si="56"/>
        <v>0</v>
      </c>
      <c r="AE69" s="212">
        <f t="shared" si="56"/>
        <v>0</v>
      </c>
      <c r="AF69" s="212">
        <f t="shared" si="56"/>
        <v>0</v>
      </c>
      <c r="AG69" s="213">
        <f t="shared" si="56"/>
        <v>0</v>
      </c>
      <c r="AH69" s="183"/>
      <c r="AI69" s="214">
        <f t="shared" si="49"/>
        <v>0</v>
      </c>
    </row>
    <row r="70" spans="1:35" ht="14.45" customHeight="1" x14ac:dyDescent="0.25">
      <c r="A70" s="252"/>
      <c r="B70" s="30" t="s">
        <v>118</v>
      </c>
      <c r="C70" s="206"/>
      <c r="E70" s="215">
        <f t="shared" ref="E70:AG70" si="57">+E52*E$22</f>
        <v>1470</v>
      </c>
      <c r="F70" s="216">
        <f t="shared" si="57"/>
        <v>1229.2177032317243</v>
      </c>
      <c r="G70" s="216">
        <f t="shared" si="57"/>
        <v>964.35717678662081</v>
      </c>
      <c r="H70" s="216">
        <f t="shared" si="57"/>
        <v>673.01059769700737</v>
      </c>
      <c r="I70" s="216">
        <f t="shared" si="57"/>
        <v>352.52936069843241</v>
      </c>
      <c r="J70" s="216">
        <f t="shared" si="57"/>
        <v>0</v>
      </c>
      <c r="K70" s="216">
        <f t="shared" si="57"/>
        <v>0</v>
      </c>
      <c r="L70" s="216">
        <f t="shared" si="57"/>
        <v>0</v>
      </c>
      <c r="M70" s="216">
        <f t="shared" si="57"/>
        <v>0</v>
      </c>
      <c r="N70" s="216">
        <f t="shared" si="57"/>
        <v>0</v>
      </c>
      <c r="O70" s="216">
        <f t="shared" si="57"/>
        <v>0</v>
      </c>
      <c r="P70" s="216">
        <f t="shared" si="57"/>
        <v>0</v>
      </c>
      <c r="Q70" s="216">
        <f t="shared" si="57"/>
        <v>0</v>
      </c>
      <c r="R70" s="216">
        <f t="shared" si="57"/>
        <v>0</v>
      </c>
      <c r="S70" s="216">
        <f t="shared" si="57"/>
        <v>0</v>
      </c>
      <c r="T70" s="216">
        <f t="shared" si="57"/>
        <v>0</v>
      </c>
      <c r="U70" s="216">
        <f t="shared" si="57"/>
        <v>0</v>
      </c>
      <c r="V70" s="216">
        <f t="shared" si="57"/>
        <v>0</v>
      </c>
      <c r="W70" s="216">
        <f t="shared" si="57"/>
        <v>0</v>
      </c>
      <c r="X70" s="216">
        <f t="shared" si="57"/>
        <v>0</v>
      </c>
      <c r="Y70" s="216">
        <f t="shared" si="57"/>
        <v>0</v>
      </c>
      <c r="Z70" s="216">
        <f t="shared" si="57"/>
        <v>0</v>
      </c>
      <c r="AA70" s="216">
        <f t="shared" si="57"/>
        <v>0</v>
      </c>
      <c r="AB70" s="216">
        <f t="shared" si="57"/>
        <v>0</v>
      </c>
      <c r="AC70" s="216">
        <f t="shared" si="57"/>
        <v>0</v>
      </c>
      <c r="AD70" s="216">
        <f t="shared" si="57"/>
        <v>0</v>
      </c>
      <c r="AE70" s="216">
        <f t="shared" si="57"/>
        <v>0</v>
      </c>
      <c r="AF70" s="216">
        <f t="shared" si="57"/>
        <v>0</v>
      </c>
      <c r="AG70" s="217">
        <f t="shared" si="57"/>
        <v>0</v>
      </c>
      <c r="AH70" s="183"/>
      <c r="AI70" s="214">
        <f t="shared" si="49"/>
        <v>4689.1148384137841</v>
      </c>
    </row>
    <row r="71" spans="1:35" ht="14.45" customHeight="1" x14ac:dyDescent="0.25">
      <c r="A71" s="251" t="s">
        <v>20</v>
      </c>
      <c r="B71" s="113" t="s">
        <v>54</v>
      </c>
      <c r="C71" s="206"/>
      <c r="E71" s="207">
        <f t="shared" ref="E71:AG71" si="58">+E53*E$22</f>
        <v>9820.2446361729235</v>
      </c>
      <c r="F71" s="208">
        <f t="shared" si="58"/>
        <v>9820.2446361729235</v>
      </c>
      <c r="G71" s="208">
        <f t="shared" si="58"/>
        <v>9820.2446361729235</v>
      </c>
      <c r="H71" s="208">
        <f t="shared" si="58"/>
        <v>9820.2446361729235</v>
      </c>
      <c r="I71" s="208">
        <f t="shared" si="58"/>
        <v>9820.2446361729235</v>
      </c>
      <c r="J71" s="208">
        <f t="shared" si="58"/>
        <v>9820.2446361729235</v>
      </c>
      <c r="K71" s="208">
        <f t="shared" si="58"/>
        <v>9820.2446361729235</v>
      </c>
      <c r="L71" s="208">
        <f t="shared" si="58"/>
        <v>9820.2446361729235</v>
      </c>
      <c r="M71" s="208">
        <f t="shared" si="58"/>
        <v>0</v>
      </c>
      <c r="N71" s="208">
        <f t="shared" si="58"/>
        <v>0</v>
      </c>
      <c r="O71" s="208">
        <f t="shared" si="58"/>
        <v>0</v>
      </c>
      <c r="P71" s="208">
        <f t="shared" si="58"/>
        <v>0</v>
      </c>
      <c r="Q71" s="208">
        <f t="shared" si="58"/>
        <v>0</v>
      </c>
      <c r="R71" s="208">
        <f t="shared" si="58"/>
        <v>0</v>
      </c>
      <c r="S71" s="208">
        <f t="shared" si="58"/>
        <v>0</v>
      </c>
      <c r="T71" s="208">
        <f t="shared" si="58"/>
        <v>0</v>
      </c>
      <c r="U71" s="208">
        <f t="shared" si="58"/>
        <v>0</v>
      </c>
      <c r="V71" s="208">
        <f t="shared" si="58"/>
        <v>0</v>
      </c>
      <c r="W71" s="208">
        <f t="shared" si="58"/>
        <v>0</v>
      </c>
      <c r="X71" s="208">
        <f t="shared" si="58"/>
        <v>0</v>
      </c>
      <c r="Y71" s="208">
        <f t="shared" si="58"/>
        <v>0</v>
      </c>
      <c r="Z71" s="208">
        <f t="shared" si="58"/>
        <v>0</v>
      </c>
      <c r="AA71" s="208">
        <f t="shared" si="58"/>
        <v>0</v>
      </c>
      <c r="AB71" s="208">
        <f t="shared" si="58"/>
        <v>0</v>
      </c>
      <c r="AC71" s="208">
        <f t="shared" si="58"/>
        <v>0</v>
      </c>
      <c r="AD71" s="208">
        <f t="shared" si="58"/>
        <v>0</v>
      </c>
      <c r="AE71" s="208">
        <f t="shared" si="58"/>
        <v>0</v>
      </c>
      <c r="AF71" s="208">
        <f t="shared" si="58"/>
        <v>0</v>
      </c>
      <c r="AG71" s="209">
        <f t="shared" si="58"/>
        <v>0</v>
      </c>
      <c r="AH71" s="183"/>
      <c r="AI71" s="218">
        <f t="shared" si="49"/>
        <v>78561.957089383388</v>
      </c>
    </row>
    <row r="72" spans="1:35" ht="14.45" customHeight="1" x14ac:dyDescent="0.25">
      <c r="A72" s="253"/>
      <c r="B72" s="30" t="s">
        <v>119</v>
      </c>
      <c r="C72" s="206"/>
      <c r="E72" s="215">
        <f t="shared" ref="E72:AG72" si="59">+E54*E$22</f>
        <v>1556.6400000000003</v>
      </c>
      <c r="F72" s="216">
        <f t="shared" si="59"/>
        <v>1556.6400000000003</v>
      </c>
      <c r="G72" s="216">
        <f t="shared" si="59"/>
        <v>1556.6400000000003</v>
      </c>
      <c r="H72" s="216">
        <f t="shared" si="59"/>
        <v>1556.6400000000003</v>
      </c>
      <c r="I72" s="216">
        <f t="shared" si="59"/>
        <v>1556.6400000000003</v>
      </c>
      <c r="J72" s="216">
        <f t="shared" si="59"/>
        <v>1556.6400000000003</v>
      </c>
      <c r="K72" s="216">
        <f t="shared" si="59"/>
        <v>1556.6400000000003</v>
      </c>
      <c r="L72" s="216">
        <f t="shared" si="59"/>
        <v>1556.6400000000003</v>
      </c>
      <c r="M72" s="216">
        <f t="shared" si="59"/>
        <v>0</v>
      </c>
      <c r="N72" s="216">
        <f t="shared" si="59"/>
        <v>0</v>
      </c>
      <c r="O72" s="216">
        <f t="shared" si="59"/>
        <v>0</v>
      </c>
      <c r="P72" s="216">
        <f t="shared" si="59"/>
        <v>0</v>
      </c>
      <c r="Q72" s="216">
        <f t="shared" si="59"/>
        <v>0</v>
      </c>
      <c r="R72" s="216">
        <f t="shared" si="59"/>
        <v>0</v>
      </c>
      <c r="S72" s="216">
        <f t="shared" si="59"/>
        <v>0</v>
      </c>
      <c r="T72" s="216">
        <f t="shared" si="59"/>
        <v>0</v>
      </c>
      <c r="U72" s="216">
        <f t="shared" si="59"/>
        <v>0</v>
      </c>
      <c r="V72" s="216">
        <f t="shared" si="59"/>
        <v>0</v>
      </c>
      <c r="W72" s="216">
        <f t="shared" si="59"/>
        <v>0</v>
      </c>
      <c r="X72" s="216">
        <f t="shared" si="59"/>
        <v>0</v>
      </c>
      <c r="Y72" s="216">
        <f t="shared" si="59"/>
        <v>0</v>
      </c>
      <c r="Z72" s="216">
        <f t="shared" si="59"/>
        <v>0</v>
      </c>
      <c r="AA72" s="216">
        <f t="shared" si="59"/>
        <v>0</v>
      </c>
      <c r="AB72" s="216">
        <f t="shared" si="59"/>
        <v>0</v>
      </c>
      <c r="AC72" s="216">
        <f t="shared" si="59"/>
        <v>0</v>
      </c>
      <c r="AD72" s="216">
        <f t="shared" si="59"/>
        <v>0</v>
      </c>
      <c r="AE72" s="216">
        <f t="shared" si="59"/>
        <v>0</v>
      </c>
      <c r="AF72" s="216">
        <f t="shared" si="59"/>
        <v>0</v>
      </c>
      <c r="AG72" s="217">
        <f t="shared" si="59"/>
        <v>0</v>
      </c>
      <c r="AH72" s="183"/>
      <c r="AI72" s="210">
        <f t="shared" si="49"/>
        <v>12453.120000000003</v>
      </c>
    </row>
    <row r="73" spans="1:35" ht="14.45" customHeight="1" x14ac:dyDescent="0.25">
      <c r="A73" s="70" t="s">
        <v>140</v>
      </c>
      <c r="B73" s="71" t="s">
        <v>121</v>
      </c>
      <c r="E73" s="219">
        <f>+E55*E$22</f>
        <v>17.664000000000005</v>
      </c>
      <c r="F73" s="220">
        <f t="shared" ref="F73:AG73" si="60">+F55*F$22</f>
        <v>17.664000000000005</v>
      </c>
      <c r="G73" s="220">
        <f t="shared" si="60"/>
        <v>17.664000000000005</v>
      </c>
      <c r="H73" s="220">
        <f t="shared" si="60"/>
        <v>17.664000000000005</v>
      </c>
      <c r="I73" s="220">
        <f t="shared" si="60"/>
        <v>17.664000000000005</v>
      </c>
      <c r="J73" s="220">
        <f t="shared" si="60"/>
        <v>17.664000000000005</v>
      </c>
      <c r="K73" s="220">
        <f t="shared" si="60"/>
        <v>17.664000000000005</v>
      </c>
      <c r="L73" s="220">
        <f t="shared" si="60"/>
        <v>17.664000000000005</v>
      </c>
      <c r="M73" s="220">
        <f t="shared" si="60"/>
        <v>0</v>
      </c>
      <c r="N73" s="220">
        <f t="shared" si="60"/>
        <v>0</v>
      </c>
      <c r="O73" s="220">
        <f t="shared" si="60"/>
        <v>0</v>
      </c>
      <c r="P73" s="220">
        <f t="shared" si="60"/>
        <v>0</v>
      </c>
      <c r="Q73" s="220">
        <f t="shared" si="60"/>
        <v>0</v>
      </c>
      <c r="R73" s="220">
        <f t="shared" si="60"/>
        <v>0</v>
      </c>
      <c r="S73" s="220">
        <f t="shared" si="60"/>
        <v>0</v>
      </c>
      <c r="T73" s="220">
        <f t="shared" si="60"/>
        <v>0</v>
      </c>
      <c r="U73" s="220">
        <f t="shared" si="60"/>
        <v>0</v>
      </c>
      <c r="V73" s="220">
        <f t="shared" si="60"/>
        <v>0</v>
      </c>
      <c r="W73" s="220">
        <f t="shared" si="60"/>
        <v>0</v>
      </c>
      <c r="X73" s="220">
        <f t="shared" si="60"/>
        <v>0</v>
      </c>
      <c r="Y73" s="220">
        <f t="shared" si="60"/>
        <v>0</v>
      </c>
      <c r="Z73" s="220">
        <f t="shared" si="60"/>
        <v>0</v>
      </c>
      <c r="AA73" s="220">
        <f t="shared" si="60"/>
        <v>0</v>
      </c>
      <c r="AB73" s="220">
        <f t="shared" si="60"/>
        <v>0</v>
      </c>
      <c r="AC73" s="220">
        <f t="shared" si="60"/>
        <v>0</v>
      </c>
      <c r="AD73" s="220">
        <f t="shared" si="60"/>
        <v>0</v>
      </c>
      <c r="AE73" s="220">
        <f t="shared" si="60"/>
        <v>0</v>
      </c>
      <c r="AF73" s="220">
        <f t="shared" si="60"/>
        <v>0</v>
      </c>
      <c r="AG73" s="221">
        <f t="shared" si="60"/>
        <v>0</v>
      </c>
      <c r="AI73" s="218">
        <f t="shared" si="49"/>
        <v>141.31200000000004</v>
      </c>
    </row>
    <row r="74" spans="1:35" ht="14.45" customHeight="1" x14ac:dyDescent="0.25">
      <c r="B74" s="181" t="s">
        <v>219</v>
      </c>
      <c r="E74" s="222">
        <f t="shared" ref="E74:AG74" si="61">SUM(E62:E73)</f>
        <v>60864.54863617292</v>
      </c>
      <c r="F74" s="222">
        <f t="shared" si="61"/>
        <v>12623.76633940465</v>
      </c>
      <c r="G74" s="222">
        <f t="shared" si="61"/>
        <v>12358.905812959547</v>
      </c>
      <c r="H74" s="222">
        <f t="shared" si="61"/>
        <v>12067.559233869932</v>
      </c>
      <c r="I74" s="222">
        <f t="shared" si="61"/>
        <v>11747.077996871358</v>
      </c>
      <c r="J74" s="222">
        <f t="shared" si="61"/>
        <v>11394.548636172924</v>
      </c>
      <c r="K74" s="222">
        <f t="shared" si="61"/>
        <v>11394.548636172924</v>
      </c>
      <c r="L74" s="222">
        <f t="shared" si="61"/>
        <v>11394.548636172924</v>
      </c>
      <c r="M74" s="222">
        <f t="shared" si="61"/>
        <v>0</v>
      </c>
      <c r="N74" s="222">
        <f t="shared" si="61"/>
        <v>0</v>
      </c>
      <c r="O74" s="222">
        <f t="shared" si="61"/>
        <v>0</v>
      </c>
      <c r="P74" s="222">
        <f t="shared" si="61"/>
        <v>0</v>
      </c>
      <c r="Q74" s="222">
        <f t="shared" si="61"/>
        <v>0</v>
      </c>
      <c r="R74" s="222">
        <f t="shared" si="61"/>
        <v>0</v>
      </c>
      <c r="S74" s="222">
        <f t="shared" si="61"/>
        <v>0</v>
      </c>
      <c r="T74" s="222">
        <f t="shared" si="61"/>
        <v>0</v>
      </c>
      <c r="U74" s="222">
        <f t="shared" si="61"/>
        <v>0</v>
      </c>
      <c r="V74" s="222">
        <f t="shared" si="61"/>
        <v>0</v>
      </c>
      <c r="W74" s="222">
        <f t="shared" si="61"/>
        <v>0</v>
      </c>
      <c r="X74" s="222">
        <f t="shared" si="61"/>
        <v>0</v>
      </c>
      <c r="Y74" s="222">
        <f t="shared" si="61"/>
        <v>0</v>
      </c>
      <c r="Z74" s="222">
        <f t="shared" si="61"/>
        <v>0</v>
      </c>
      <c r="AA74" s="222">
        <f t="shared" si="61"/>
        <v>0</v>
      </c>
      <c r="AB74" s="222">
        <f t="shared" si="61"/>
        <v>0</v>
      </c>
      <c r="AC74" s="222">
        <f t="shared" si="61"/>
        <v>0</v>
      </c>
      <c r="AD74" s="222">
        <f t="shared" si="61"/>
        <v>0</v>
      </c>
      <c r="AE74" s="222">
        <f t="shared" si="61"/>
        <v>0</v>
      </c>
      <c r="AF74" s="222">
        <f t="shared" si="61"/>
        <v>0</v>
      </c>
      <c r="AG74" s="222">
        <f t="shared" si="61"/>
        <v>0</v>
      </c>
      <c r="AH74" s="183"/>
      <c r="AI74" s="223">
        <f>+SUM(E74:AG74)</f>
        <v>143845.5039277972</v>
      </c>
    </row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customFormat="1" ht="14.45" customHeight="1" x14ac:dyDescent="0.25"/>
    <row r="82" customFormat="1" ht="14.45" customHeight="1" x14ac:dyDescent="0.25"/>
    <row r="83" customFormat="1" ht="14.45" customHeight="1" x14ac:dyDescent="0.25"/>
    <row r="84" customFormat="1" ht="14.45" customHeight="1" x14ac:dyDescent="0.25"/>
    <row r="85" customFormat="1" ht="14.45" customHeight="1" x14ac:dyDescent="0.25"/>
    <row r="86" customFormat="1" ht="14.45" customHeight="1" x14ac:dyDescent="0.25"/>
    <row r="87" customFormat="1" ht="14.45" customHeight="1" x14ac:dyDescent="0.25"/>
    <row r="88" customFormat="1" ht="14.45" customHeight="1" x14ac:dyDescent="0.25"/>
  </sheetData>
  <mergeCells count="20">
    <mergeCell ref="A71:A72"/>
    <mergeCell ref="A7:A8"/>
    <mergeCell ref="A9:A15"/>
    <mergeCell ref="A16:A17"/>
    <mergeCell ref="A25:A26"/>
    <mergeCell ref="A27:A33"/>
    <mergeCell ref="A34:A35"/>
    <mergeCell ref="A44:A45"/>
    <mergeCell ref="A46:A52"/>
    <mergeCell ref="A43:B43"/>
    <mergeCell ref="A53:A54"/>
    <mergeCell ref="A61:B61"/>
    <mergeCell ref="A62:A63"/>
    <mergeCell ref="A64:A70"/>
    <mergeCell ref="A24:B24"/>
    <mergeCell ref="A41:AI41"/>
    <mergeCell ref="A1:B1"/>
    <mergeCell ref="A3:B3"/>
    <mergeCell ref="A4:AI4"/>
    <mergeCell ref="A6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0204-DBA4-425F-A3EA-DFD30BD3E278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2B335D-0D14-4E87-BAF8-16588BDCB7C6}"/>
</file>

<file path=customXml/itemProps3.xml><?xml version="1.0" encoding="utf-8"?>
<ds:datastoreItem xmlns:ds="http://schemas.openxmlformats.org/officeDocument/2006/customXml" ds:itemID="{FE610E25-55EE-4D54-A736-E8E532405C35}">
  <ds:schemaRefs>
    <ds:schemaRef ds:uri="d4b2f266-c533-457a-89d9-a5c40a6bf05c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23ffcbdd-96e7-4382-b510-0d674d6794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