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niciosprl.sharepoint.com/Current_Clients/PCOGIZ2148_GIZ Guia Movilidad Electrica UY/Shared Documents/02. Project delivery/04. Work Packages/02. Guía ME Urbana/VERSIÓN FINAL/CTPs Versión Final/"/>
    </mc:Choice>
  </mc:AlternateContent>
  <xr:revisionPtr revIDLastSave="1643" documentId="8_{2879E754-E301-4292-B21F-0A5E11233BAA}" xr6:coauthVersionLast="47" xr6:coauthVersionMax="47" xr10:uidLastSave="{38C9A4EF-A753-4616-BEEB-B3B5CF039449}"/>
  <bookViews>
    <workbookView xWindow="-120" yWindow="-120" windowWidth="20730" windowHeight="11160" xr2:uid="{819CA7C7-8216-42DE-BAA2-3E4C33D3323D}"/>
  </bookViews>
  <sheets>
    <sheet name="Instrucciones" sheetId="5" r:id="rId1"/>
    <sheet name="Parametros" sheetId="1" r:id="rId2"/>
    <sheet name="CTP" sheetId="2" r:id="rId3"/>
    <sheet name="CTP Valor Presente" sheetId="4" r:id="rId4"/>
    <sheet name="Fuentes" sheetId="3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F52" i="4" l="1"/>
  <c r="F69" i="4" s="1"/>
  <c r="G52" i="4"/>
  <c r="H52" i="4"/>
  <c r="I52" i="4"/>
  <c r="J52" i="4"/>
  <c r="K52" i="4"/>
  <c r="L52" i="4"/>
  <c r="E52" i="4"/>
  <c r="E69" i="4" s="1"/>
  <c r="K69" i="4"/>
  <c r="K51" i="4"/>
  <c r="I51" i="4"/>
  <c r="F50" i="4"/>
  <c r="G50" i="4"/>
  <c r="H50" i="4"/>
  <c r="I50" i="4"/>
  <c r="J50" i="4"/>
  <c r="K50" i="4"/>
  <c r="L50" i="4"/>
  <c r="E50" i="4"/>
  <c r="E67" i="4" s="1"/>
  <c r="E47" i="4"/>
  <c r="E45" i="4"/>
  <c r="E62" i="4" s="1"/>
  <c r="E43" i="4"/>
  <c r="E60" i="4" s="1"/>
  <c r="AD69" i="4"/>
  <c r="AA69" i="4"/>
  <c r="V69" i="4"/>
  <c r="S69" i="4"/>
  <c r="N69" i="4"/>
  <c r="AA68" i="4"/>
  <c r="S68" i="4"/>
  <c r="AD67" i="4"/>
  <c r="AC67" i="4"/>
  <c r="V67" i="4"/>
  <c r="U67" i="4"/>
  <c r="N67" i="4"/>
  <c r="M67" i="4"/>
  <c r="AD66" i="4"/>
  <c r="AA66" i="4"/>
  <c r="V66" i="4"/>
  <c r="S66" i="4"/>
  <c r="N66" i="4"/>
  <c r="K66" i="4"/>
  <c r="AD65" i="4"/>
  <c r="AA65" i="4"/>
  <c r="V65" i="4"/>
  <c r="S65" i="4"/>
  <c r="N65" i="4"/>
  <c r="AD63" i="4"/>
  <c r="AC63" i="4"/>
  <c r="AA63" i="4"/>
  <c r="V63" i="4"/>
  <c r="U63" i="4"/>
  <c r="S63" i="4"/>
  <c r="N63" i="4"/>
  <c r="K63" i="4"/>
  <c r="AD62" i="4"/>
  <c r="AA62" i="4"/>
  <c r="V62" i="4"/>
  <c r="S62" i="4"/>
  <c r="N62" i="4"/>
  <c r="K62" i="4"/>
  <c r="F62" i="4"/>
  <c r="AE61" i="4"/>
  <c r="AC61" i="4"/>
  <c r="AA61" i="4"/>
  <c r="W61" i="4"/>
  <c r="U61" i="4"/>
  <c r="S61" i="4"/>
  <c r="O61" i="4"/>
  <c r="M61" i="4"/>
  <c r="K61" i="4"/>
  <c r="G61" i="4"/>
  <c r="AD60" i="4"/>
  <c r="AA60" i="4"/>
  <c r="V60" i="4"/>
  <c r="S60" i="4"/>
  <c r="N60" i="4"/>
  <c r="K60" i="4"/>
  <c r="F60" i="4"/>
  <c r="AE59" i="4"/>
  <c r="AC59" i="4"/>
  <c r="AA59" i="4"/>
  <c r="W59" i="4"/>
  <c r="U59" i="4"/>
  <c r="T59" i="4"/>
  <c r="S59" i="4"/>
  <c r="O59" i="4"/>
  <c r="M59" i="4"/>
  <c r="L59" i="4"/>
  <c r="K59" i="4"/>
  <c r="G59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K67" i="4"/>
  <c r="F67" i="4"/>
  <c r="AI47" i="4"/>
  <c r="E64" i="4"/>
  <c r="M46" i="4"/>
  <c r="AI45" i="4"/>
  <c r="F41" i="4"/>
  <c r="G41" i="4" s="1"/>
  <c r="H41" i="4" s="1"/>
  <c r="I41" i="4" s="1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T41" i="4" s="1"/>
  <c r="U41" i="4" s="1"/>
  <c r="V41" i="4" s="1"/>
  <c r="W41" i="4" s="1"/>
  <c r="X41" i="4" s="1"/>
  <c r="Y41" i="4" s="1"/>
  <c r="Z41" i="4" s="1"/>
  <c r="AA41" i="4" s="1"/>
  <c r="AB41" i="4" s="1"/>
  <c r="AC41" i="4" s="1"/>
  <c r="AD41" i="4" s="1"/>
  <c r="AE41" i="4" s="1"/>
  <c r="AF41" i="4" s="1"/>
  <c r="AG41" i="4" s="1"/>
  <c r="E21" i="4"/>
  <c r="F17" i="4"/>
  <c r="G17" i="4"/>
  <c r="H17" i="4"/>
  <c r="I17" i="4"/>
  <c r="J17" i="4"/>
  <c r="K17" i="4"/>
  <c r="L17" i="4"/>
  <c r="E17" i="4"/>
  <c r="L16" i="4"/>
  <c r="K16" i="4"/>
  <c r="J16" i="4"/>
  <c r="I16" i="4"/>
  <c r="H16" i="4"/>
  <c r="G16" i="4"/>
  <c r="F16" i="4"/>
  <c r="E16" i="4"/>
  <c r="F15" i="4"/>
  <c r="G15" i="4"/>
  <c r="H15" i="4"/>
  <c r="I15" i="4"/>
  <c r="J15" i="4"/>
  <c r="K15" i="4"/>
  <c r="L15" i="4"/>
  <c r="E15" i="4"/>
  <c r="E12" i="4"/>
  <c r="E8" i="4"/>
  <c r="AG21" i="4"/>
  <c r="AG28" i="4" s="1"/>
  <c r="AF21" i="4"/>
  <c r="AF31" i="4" s="1"/>
  <c r="AE21" i="4"/>
  <c r="AE68" i="4" s="1"/>
  <c r="AD21" i="4"/>
  <c r="AD30" i="4" s="1"/>
  <c r="AC21" i="4"/>
  <c r="AC68" i="4" s="1"/>
  <c r="AB21" i="4"/>
  <c r="AB25" i="4" s="1"/>
  <c r="AA21" i="4"/>
  <c r="AA67" i="4" s="1"/>
  <c r="Z21" i="4"/>
  <c r="Z69" i="4" s="1"/>
  <c r="Y21" i="4"/>
  <c r="Y30" i="4" s="1"/>
  <c r="X21" i="4"/>
  <c r="X31" i="4" s="1"/>
  <c r="W21" i="4"/>
  <c r="W68" i="4" s="1"/>
  <c r="V21" i="4"/>
  <c r="V30" i="4" s="1"/>
  <c r="U21" i="4"/>
  <c r="U68" i="4" s="1"/>
  <c r="T21" i="4"/>
  <c r="T34" i="4" s="1"/>
  <c r="S21" i="4"/>
  <c r="S34" i="4" s="1"/>
  <c r="R21" i="4"/>
  <c r="R69" i="4" s="1"/>
  <c r="Q21" i="4"/>
  <c r="Q31" i="4" s="1"/>
  <c r="P21" i="4"/>
  <c r="P32" i="4" s="1"/>
  <c r="O21" i="4"/>
  <c r="O68" i="4" s="1"/>
  <c r="N21" i="4"/>
  <c r="N27" i="4" s="1"/>
  <c r="M21" i="4"/>
  <c r="M26" i="4" s="1"/>
  <c r="L21" i="4"/>
  <c r="L63" i="4" s="1"/>
  <c r="K21" i="4"/>
  <c r="K68" i="4" s="1"/>
  <c r="J21" i="4"/>
  <c r="J67" i="4" s="1"/>
  <c r="I21" i="4"/>
  <c r="I26" i="4" s="1"/>
  <c r="H21" i="4"/>
  <c r="H62" i="4" s="1"/>
  <c r="G21" i="4"/>
  <c r="G29" i="4" s="1"/>
  <c r="F21" i="4"/>
  <c r="F64" i="4" s="1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G33" i="4"/>
  <c r="AI12" i="4"/>
  <c r="M11" i="4"/>
  <c r="F6" i="4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76" i="1"/>
  <c r="I77" i="1"/>
  <c r="F51" i="4" s="1"/>
  <c r="I78" i="1"/>
  <c r="G51" i="4" s="1"/>
  <c r="I79" i="1"/>
  <c r="H51" i="4" s="1"/>
  <c r="H68" i="4" s="1"/>
  <c r="I80" i="1"/>
  <c r="I81" i="1"/>
  <c r="J51" i="4" s="1"/>
  <c r="I82" i="1"/>
  <c r="I83" i="1"/>
  <c r="L51" i="4" s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76" i="1"/>
  <c r="E51" i="4" s="1"/>
  <c r="E68" i="4" s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76" i="1"/>
  <c r="E61" i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C61" i="1"/>
  <c r="C76" i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66" i="1"/>
  <c r="C63" i="1"/>
  <c r="C58" i="1"/>
  <c r="B76" i="1" s="1"/>
  <c r="B67" i="1"/>
  <c r="C67" i="1" s="1"/>
  <c r="F84" i="1" s="1"/>
  <c r="B64" i="1"/>
  <c r="C64" i="1" s="1"/>
  <c r="E76" i="1" s="1"/>
  <c r="Q60" i="4" l="1"/>
  <c r="Y60" i="4"/>
  <c r="AG60" i="4"/>
  <c r="I62" i="4"/>
  <c r="Q62" i="4"/>
  <c r="Y62" i="4"/>
  <c r="AG62" i="4"/>
  <c r="J64" i="4"/>
  <c r="R64" i="4"/>
  <c r="Z64" i="4"/>
  <c r="T65" i="4"/>
  <c r="AB65" i="4"/>
  <c r="L66" i="4"/>
  <c r="T66" i="4"/>
  <c r="T70" i="4" s="1"/>
  <c r="AB66" i="4"/>
  <c r="Q68" i="4"/>
  <c r="Y68" i="4"/>
  <c r="AG68" i="4"/>
  <c r="T69" i="4"/>
  <c r="AB69" i="4"/>
  <c r="G67" i="4"/>
  <c r="F59" i="4"/>
  <c r="N59" i="4"/>
  <c r="N70" i="4" s="1"/>
  <c r="V59" i="4"/>
  <c r="AD59" i="4"/>
  <c r="J60" i="4"/>
  <c r="R60" i="4"/>
  <c r="Z60" i="4"/>
  <c r="F61" i="4"/>
  <c r="N61" i="4"/>
  <c r="V61" i="4"/>
  <c r="AD61" i="4"/>
  <c r="J62" i="4"/>
  <c r="R62" i="4"/>
  <c r="Z62" i="4"/>
  <c r="F63" i="4"/>
  <c r="O63" i="4"/>
  <c r="W63" i="4"/>
  <c r="AE63" i="4"/>
  <c r="K64" i="4"/>
  <c r="S64" i="4"/>
  <c r="AA64" i="4"/>
  <c r="M65" i="4"/>
  <c r="U65" i="4"/>
  <c r="AC65" i="4"/>
  <c r="AC70" i="4" s="1"/>
  <c r="M66" i="4"/>
  <c r="U66" i="4"/>
  <c r="AC66" i="4"/>
  <c r="O67" i="4"/>
  <c r="W67" i="4"/>
  <c r="AE67" i="4"/>
  <c r="R68" i="4"/>
  <c r="Z68" i="4"/>
  <c r="M69" i="4"/>
  <c r="U69" i="4"/>
  <c r="AC69" i="4"/>
  <c r="I60" i="4"/>
  <c r="I68" i="4"/>
  <c r="S70" i="4"/>
  <c r="G63" i="4"/>
  <c r="P63" i="4"/>
  <c r="L64" i="4"/>
  <c r="T64" i="4"/>
  <c r="AB64" i="4"/>
  <c r="P67" i="4"/>
  <c r="X67" i="4"/>
  <c r="AF67" i="4"/>
  <c r="J68" i="4"/>
  <c r="X63" i="4"/>
  <c r="H59" i="4"/>
  <c r="P59" i="4"/>
  <c r="X59" i="4"/>
  <c r="AF59" i="4"/>
  <c r="L60" i="4"/>
  <c r="T60" i="4"/>
  <c r="AB60" i="4"/>
  <c r="H61" i="4"/>
  <c r="P61" i="4"/>
  <c r="X61" i="4"/>
  <c r="AF61" i="4"/>
  <c r="L62" i="4"/>
  <c r="T62" i="4"/>
  <c r="AB62" i="4"/>
  <c r="H63" i="4"/>
  <c r="Q63" i="4"/>
  <c r="Y63" i="4"/>
  <c r="AG63" i="4"/>
  <c r="M64" i="4"/>
  <c r="U64" i="4"/>
  <c r="AC64" i="4"/>
  <c r="O65" i="4"/>
  <c r="W65" i="4"/>
  <c r="AE65" i="4"/>
  <c r="O66" i="4"/>
  <c r="W66" i="4"/>
  <c r="AE66" i="4"/>
  <c r="Q67" i="4"/>
  <c r="Y67" i="4"/>
  <c r="AG67" i="4"/>
  <c r="T68" i="4"/>
  <c r="AB68" i="4"/>
  <c r="O69" i="4"/>
  <c r="W69" i="4"/>
  <c r="AE69" i="4"/>
  <c r="AA70" i="4"/>
  <c r="AF63" i="4"/>
  <c r="I59" i="4"/>
  <c r="Q59" i="4"/>
  <c r="Y59" i="4"/>
  <c r="AG59" i="4"/>
  <c r="M60" i="4"/>
  <c r="U60" i="4"/>
  <c r="U70" i="4" s="1"/>
  <c r="AC60" i="4"/>
  <c r="I61" i="4"/>
  <c r="Q61" i="4"/>
  <c r="Y61" i="4"/>
  <c r="AG61" i="4"/>
  <c r="M62" i="4"/>
  <c r="U62" i="4"/>
  <c r="AC62" i="4"/>
  <c r="I63" i="4"/>
  <c r="R63" i="4"/>
  <c r="Z63" i="4"/>
  <c r="N64" i="4"/>
  <c r="V64" i="4"/>
  <c r="AD64" i="4"/>
  <c r="P65" i="4"/>
  <c r="X65" i="4"/>
  <c r="AF65" i="4"/>
  <c r="P66" i="4"/>
  <c r="X66" i="4"/>
  <c r="AF66" i="4"/>
  <c r="R67" i="4"/>
  <c r="Z67" i="4"/>
  <c r="M68" i="4"/>
  <c r="P69" i="4"/>
  <c r="X69" i="4"/>
  <c r="AF69" i="4"/>
  <c r="L68" i="4"/>
  <c r="H69" i="4"/>
  <c r="J59" i="4"/>
  <c r="R59" i="4"/>
  <c r="Z59" i="4"/>
  <c r="J61" i="4"/>
  <c r="R61" i="4"/>
  <c r="Z61" i="4"/>
  <c r="J63" i="4"/>
  <c r="G64" i="4"/>
  <c r="AI64" i="4" s="1"/>
  <c r="O64" i="4"/>
  <c r="W64" i="4"/>
  <c r="AE64" i="4"/>
  <c r="Q65" i="4"/>
  <c r="Y65" i="4"/>
  <c r="AG65" i="4"/>
  <c r="Q66" i="4"/>
  <c r="Y66" i="4"/>
  <c r="AG66" i="4"/>
  <c r="S67" i="4"/>
  <c r="N68" i="4"/>
  <c r="V68" i="4"/>
  <c r="AD68" i="4"/>
  <c r="Q69" i="4"/>
  <c r="Y69" i="4"/>
  <c r="AG69" i="4"/>
  <c r="G69" i="4"/>
  <c r="I67" i="4"/>
  <c r="I69" i="4"/>
  <c r="G60" i="4"/>
  <c r="O60" i="4"/>
  <c r="O70" i="4" s="1"/>
  <c r="W60" i="4"/>
  <c r="W70" i="4" s="1"/>
  <c r="AE60" i="4"/>
  <c r="AE70" i="4" s="1"/>
  <c r="G62" i="4"/>
  <c r="AI62" i="4" s="1"/>
  <c r="O62" i="4"/>
  <c r="W62" i="4"/>
  <c r="AE62" i="4"/>
  <c r="T63" i="4"/>
  <c r="AB63" i="4"/>
  <c r="H64" i="4"/>
  <c r="P64" i="4"/>
  <c r="X64" i="4"/>
  <c r="AF64" i="4"/>
  <c r="R65" i="4"/>
  <c r="Z65" i="4"/>
  <c r="J66" i="4"/>
  <c r="R66" i="4"/>
  <c r="Z66" i="4"/>
  <c r="L67" i="4"/>
  <c r="T67" i="4"/>
  <c r="AB67" i="4"/>
  <c r="F68" i="4"/>
  <c r="J69" i="4"/>
  <c r="AB59" i="4"/>
  <c r="H60" i="4"/>
  <c r="AI60" i="4" s="1"/>
  <c r="P60" i="4"/>
  <c r="X60" i="4"/>
  <c r="AF60" i="4"/>
  <c r="L61" i="4"/>
  <c r="T61" i="4"/>
  <c r="AB61" i="4"/>
  <c r="P62" i="4"/>
  <c r="X62" i="4"/>
  <c r="AF62" i="4"/>
  <c r="I64" i="4"/>
  <c r="Q64" i="4"/>
  <c r="Y64" i="4"/>
  <c r="AG64" i="4"/>
  <c r="P68" i="4"/>
  <c r="X68" i="4"/>
  <c r="AF68" i="4"/>
  <c r="G68" i="4"/>
  <c r="L69" i="4"/>
  <c r="AI50" i="4"/>
  <c r="AI43" i="4"/>
  <c r="M63" i="4"/>
  <c r="AI51" i="4"/>
  <c r="H67" i="4"/>
  <c r="AI52" i="4"/>
  <c r="M53" i="4"/>
  <c r="S26" i="4"/>
  <c r="U32" i="4"/>
  <c r="F33" i="4"/>
  <c r="U26" i="4"/>
  <c r="U31" i="4"/>
  <c r="V24" i="4"/>
  <c r="H32" i="4"/>
  <c r="AB24" i="4"/>
  <c r="AD25" i="4"/>
  <c r="F24" i="4"/>
  <c r="G25" i="4"/>
  <c r="AG26" i="4"/>
  <c r="L29" i="4"/>
  <c r="W32" i="4"/>
  <c r="O28" i="4"/>
  <c r="L24" i="4"/>
  <c r="H25" i="4"/>
  <c r="K27" i="4"/>
  <c r="M29" i="4"/>
  <c r="AE32" i="4"/>
  <c r="O32" i="4"/>
  <c r="O24" i="4"/>
  <c r="O25" i="4"/>
  <c r="M27" i="4"/>
  <c r="W29" i="4"/>
  <c r="U34" i="4"/>
  <c r="AE24" i="4"/>
  <c r="U24" i="4"/>
  <c r="W25" i="4"/>
  <c r="AD27" i="4"/>
  <c r="O30" i="4"/>
  <c r="W34" i="4"/>
  <c r="AE27" i="4"/>
  <c r="I33" i="4"/>
  <c r="W24" i="4"/>
  <c r="AE25" i="4"/>
  <c r="AF27" i="4"/>
  <c r="W31" i="4"/>
  <c r="G34" i="4"/>
  <c r="G28" i="4"/>
  <c r="P26" i="4"/>
  <c r="X28" i="4"/>
  <c r="AC29" i="4"/>
  <c r="M31" i="4"/>
  <c r="M33" i="4"/>
  <c r="K34" i="4"/>
  <c r="K32" i="4"/>
  <c r="T24" i="4"/>
  <c r="F25" i="4"/>
  <c r="X25" i="4"/>
  <c r="Q26" i="4"/>
  <c r="G27" i="4"/>
  <c r="AF28" i="4"/>
  <c r="N30" i="4"/>
  <c r="P31" i="4"/>
  <c r="S32" i="4"/>
  <c r="G32" i="4"/>
  <c r="K33" i="4"/>
  <c r="H33" i="4"/>
  <c r="G24" i="4"/>
  <c r="N25" i="4"/>
  <c r="AF25" i="4"/>
  <c r="X26" i="4"/>
  <c r="O27" i="4"/>
  <c r="K28" i="4"/>
  <c r="O29" i="4"/>
  <c r="U30" i="4"/>
  <c r="AA31" i="4"/>
  <c r="AC32" i="4"/>
  <c r="AE34" i="4"/>
  <c r="S30" i="4"/>
  <c r="H26" i="4"/>
  <c r="AA26" i="4"/>
  <c r="S27" i="4"/>
  <c r="AA30" i="4"/>
  <c r="AC31" i="4"/>
  <c r="E33" i="4"/>
  <c r="E34" i="4"/>
  <c r="H34" i="4"/>
  <c r="M24" i="4"/>
  <c r="AC24" i="4"/>
  <c r="P25" i="4"/>
  <c r="K26" i="4"/>
  <c r="AC26" i="4"/>
  <c r="U27" i="4"/>
  <c r="U28" i="4"/>
  <c r="Y29" i="4"/>
  <c r="AC30" i="4"/>
  <c r="AE31" i="4"/>
  <c r="AF32" i="4"/>
  <c r="E29" i="4"/>
  <c r="F34" i="4"/>
  <c r="I34" i="4"/>
  <c r="N24" i="4"/>
  <c r="AD24" i="4"/>
  <c r="V25" i="4"/>
  <c r="AF26" i="4"/>
  <c r="W27" i="4"/>
  <c r="W28" i="4"/>
  <c r="AA29" i="4"/>
  <c r="AE30" i="4"/>
  <c r="L33" i="4"/>
  <c r="J31" i="4"/>
  <c r="J26" i="4"/>
  <c r="J29" i="4"/>
  <c r="J24" i="4"/>
  <c r="J25" i="4"/>
  <c r="J32" i="4"/>
  <c r="J33" i="4"/>
  <c r="AI8" i="4"/>
  <c r="E25" i="4"/>
  <c r="Z34" i="4"/>
  <c r="Z30" i="4"/>
  <c r="Z31" i="4"/>
  <c r="Z27" i="4"/>
  <c r="Z29" i="4"/>
  <c r="Z26" i="4"/>
  <c r="Z33" i="4"/>
  <c r="Z32" i="4"/>
  <c r="Z24" i="4"/>
  <c r="Z28" i="4"/>
  <c r="Z25" i="4"/>
  <c r="J27" i="4"/>
  <c r="Y26" i="4"/>
  <c r="R34" i="4"/>
  <c r="R30" i="4"/>
  <c r="R31" i="4"/>
  <c r="R27" i="4"/>
  <c r="R26" i="4"/>
  <c r="R32" i="4"/>
  <c r="R28" i="4"/>
  <c r="R24" i="4"/>
  <c r="R33" i="4"/>
  <c r="R29" i="4"/>
  <c r="R25" i="4"/>
  <c r="M28" i="4"/>
  <c r="M18" i="4"/>
  <c r="AI15" i="4"/>
  <c r="AI16" i="4"/>
  <c r="J28" i="4"/>
  <c r="I32" i="4"/>
  <c r="I28" i="4"/>
  <c r="I27" i="4"/>
  <c r="I25" i="4"/>
  <c r="I29" i="4"/>
  <c r="I24" i="4"/>
  <c r="Q34" i="4"/>
  <c r="Q30" i="4"/>
  <c r="Q32" i="4"/>
  <c r="Q27" i="4"/>
  <c r="Q28" i="4"/>
  <c r="Q24" i="4"/>
  <c r="Q33" i="4"/>
  <c r="Q29" i="4"/>
  <c r="Q25" i="4"/>
  <c r="Y34" i="4"/>
  <c r="Y33" i="4"/>
  <c r="Y31" i="4"/>
  <c r="Y32" i="4"/>
  <c r="Y24" i="4"/>
  <c r="Y28" i="4"/>
  <c r="Y27" i="4"/>
  <c r="Y25" i="4"/>
  <c r="AG34" i="4"/>
  <c r="AG29" i="4"/>
  <c r="AG27" i="4"/>
  <c r="AG25" i="4"/>
  <c r="AG30" i="4"/>
  <c r="AG31" i="4"/>
  <c r="AG33" i="4"/>
  <c r="AG24" i="4"/>
  <c r="AG32" i="4"/>
  <c r="T31" i="4"/>
  <c r="T27" i="4"/>
  <c r="T32" i="4"/>
  <c r="T28" i="4"/>
  <c r="AB33" i="4"/>
  <c r="L34" i="4"/>
  <c r="F32" i="4"/>
  <c r="H24" i="4"/>
  <c r="P24" i="4"/>
  <c r="X24" i="4"/>
  <c r="AF24" i="4"/>
  <c r="L26" i="4"/>
  <c r="T26" i="4"/>
  <c r="AB26" i="4"/>
  <c r="F27" i="4"/>
  <c r="X27" i="4"/>
  <c r="P28" i="4"/>
  <c r="AB29" i="4"/>
  <c r="T30" i="4"/>
  <c r="K31" i="4"/>
  <c r="V31" i="4"/>
  <c r="M32" i="4"/>
  <c r="X32" i="4"/>
  <c r="AC33" i="4"/>
  <c r="M34" i="4"/>
  <c r="AA34" i="4"/>
  <c r="N32" i="4"/>
  <c r="N28" i="4"/>
  <c r="N33" i="4"/>
  <c r="N29" i="4"/>
  <c r="S25" i="4"/>
  <c r="AA28" i="4"/>
  <c r="S33" i="4"/>
  <c r="AB34" i="4"/>
  <c r="L31" i="4"/>
  <c r="L28" i="4"/>
  <c r="F28" i="4"/>
  <c r="F29" i="4"/>
  <c r="AD32" i="4"/>
  <c r="AD28" i="4"/>
  <c r="AD33" i="4"/>
  <c r="AD29" i="4"/>
  <c r="K25" i="4"/>
  <c r="O33" i="4"/>
  <c r="W33" i="4"/>
  <c r="AE33" i="4"/>
  <c r="L25" i="4"/>
  <c r="T25" i="4"/>
  <c r="F26" i="4"/>
  <c r="N26" i="4"/>
  <c r="V26" i="4"/>
  <c r="AD26" i="4"/>
  <c r="H27" i="4"/>
  <c r="P27" i="4"/>
  <c r="AA27" i="4"/>
  <c r="H28" i="4"/>
  <c r="AC28" i="4"/>
  <c r="T29" i="4"/>
  <c r="AE29" i="4"/>
  <c r="N31" i="4"/>
  <c r="E32" i="4"/>
  <c r="T33" i="4"/>
  <c r="O34" i="4"/>
  <c r="AC34" i="4"/>
  <c r="AB31" i="4"/>
  <c r="AB27" i="4"/>
  <c r="AB32" i="4"/>
  <c r="AB28" i="4"/>
  <c r="AI17" i="4"/>
  <c r="V32" i="4"/>
  <c r="V28" i="4"/>
  <c r="V33" i="4"/>
  <c r="V29" i="4"/>
  <c r="AA25" i="4"/>
  <c r="S29" i="4"/>
  <c r="N34" i="4"/>
  <c r="H29" i="4"/>
  <c r="P33" i="4"/>
  <c r="P29" i="4"/>
  <c r="P34" i="4"/>
  <c r="P30" i="4"/>
  <c r="X33" i="4"/>
  <c r="X29" i="4"/>
  <c r="X34" i="4"/>
  <c r="X30" i="4"/>
  <c r="AF33" i="4"/>
  <c r="AF29" i="4"/>
  <c r="AF34" i="4"/>
  <c r="AF30" i="4"/>
  <c r="K24" i="4"/>
  <c r="S24" i="4"/>
  <c r="AA24" i="4"/>
  <c r="M25" i="4"/>
  <c r="U25" i="4"/>
  <c r="AC25" i="4"/>
  <c r="G26" i="4"/>
  <c r="O26" i="4"/>
  <c r="W26" i="4"/>
  <c r="AE26" i="4"/>
  <c r="AC27" i="4"/>
  <c r="S28" i="4"/>
  <c r="AE28" i="4"/>
  <c r="K29" i="4"/>
  <c r="U29" i="4"/>
  <c r="M30" i="4"/>
  <c r="W30" i="4"/>
  <c r="O31" i="4"/>
  <c r="AA32" i="4"/>
  <c r="U33" i="4"/>
  <c r="AD34" i="4"/>
  <c r="L32" i="4"/>
  <c r="J34" i="4"/>
  <c r="L27" i="4"/>
  <c r="V27" i="4"/>
  <c r="AB30" i="4"/>
  <c r="S31" i="4"/>
  <c r="AD31" i="4"/>
  <c r="AA33" i="4"/>
  <c r="V34" i="4"/>
  <c r="B77" i="1"/>
  <c r="F99" i="1"/>
  <c r="F91" i="1"/>
  <c r="F98" i="1"/>
  <c r="F90" i="1"/>
  <c r="F82" i="1"/>
  <c r="F83" i="1"/>
  <c r="F97" i="1"/>
  <c r="F81" i="1"/>
  <c r="F76" i="1"/>
  <c r="F89" i="1"/>
  <c r="F104" i="1"/>
  <c r="F96" i="1"/>
  <c r="F88" i="1"/>
  <c r="F80" i="1"/>
  <c r="F103" i="1"/>
  <c r="F95" i="1"/>
  <c r="F87" i="1"/>
  <c r="F79" i="1"/>
  <c r="F102" i="1"/>
  <c r="F94" i="1"/>
  <c r="F86" i="1"/>
  <c r="F78" i="1"/>
  <c r="F101" i="1"/>
  <c r="F85" i="1"/>
  <c r="F77" i="1"/>
  <c r="F93" i="1"/>
  <c r="F100" i="1"/>
  <c r="F92" i="1"/>
  <c r="AI69" i="4" l="1"/>
  <c r="AI68" i="4"/>
  <c r="Z70" i="4"/>
  <c r="M70" i="4"/>
  <c r="R70" i="4"/>
  <c r="AB70" i="4"/>
  <c r="AI67" i="4"/>
  <c r="AD70" i="4"/>
  <c r="AG70" i="4"/>
  <c r="AF70" i="4"/>
  <c r="V70" i="4"/>
  <c r="Y70" i="4"/>
  <c r="X70" i="4"/>
  <c r="V35" i="4"/>
  <c r="Q70" i="4"/>
  <c r="P70" i="4"/>
  <c r="O35" i="4"/>
  <c r="AD35" i="4"/>
  <c r="T35" i="4"/>
  <c r="AI29" i="4"/>
  <c r="U35" i="4"/>
  <c r="AB35" i="4"/>
  <c r="AC35" i="4"/>
  <c r="M35" i="4"/>
  <c r="R35" i="4"/>
  <c r="AE35" i="4"/>
  <c r="W35" i="4"/>
  <c r="N35" i="4"/>
  <c r="AI34" i="4"/>
  <c r="AI33" i="4"/>
  <c r="Y35" i="4"/>
  <c r="S35" i="4"/>
  <c r="AG35" i="4"/>
  <c r="Z35" i="4"/>
  <c r="X35" i="4"/>
  <c r="AA35" i="4"/>
  <c r="P35" i="4"/>
  <c r="AI32" i="4"/>
  <c r="Q35" i="4"/>
  <c r="AI25" i="4"/>
  <c r="AF35" i="4"/>
  <c r="B78" i="1"/>
  <c r="B79" i="1" l="1"/>
  <c r="B80" i="1" l="1"/>
  <c r="B81" i="1" l="1"/>
  <c r="B82" i="1" l="1"/>
  <c r="B83" i="1" l="1"/>
  <c r="B84" i="1" l="1"/>
  <c r="B85" i="1" l="1"/>
  <c r="B86" i="1" l="1"/>
  <c r="B87" i="1" l="1"/>
  <c r="B88" i="1" l="1"/>
  <c r="B89" i="1" l="1"/>
  <c r="B90" i="1" l="1"/>
  <c r="B91" i="1" l="1"/>
  <c r="B92" i="1" l="1"/>
  <c r="B93" i="1" l="1"/>
  <c r="B94" i="1" l="1"/>
  <c r="B95" i="1" l="1"/>
  <c r="B96" i="1" l="1"/>
  <c r="B97" i="1" l="1"/>
  <c r="B98" i="1" l="1"/>
  <c r="B99" i="1" l="1"/>
  <c r="B100" i="1" l="1"/>
  <c r="B101" i="1" l="1"/>
  <c r="B102" i="1" l="1"/>
  <c r="B103" i="1" l="1"/>
  <c r="B104" i="1" l="1"/>
  <c r="I7" i="1" l="1"/>
  <c r="H7" i="1"/>
  <c r="I8" i="1"/>
  <c r="H11" i="1"/>
  <c r="H9" i="1" l="1"/>
  <c r="I6" i="1"/>
  <c r="E99" i="2"/>
  <c r="F99" i="2" s="1"/>
  <c r="C101" i="2"/>
  <c r="D101" i="2" s="1"/>
  <c r="E101" i="2"/>
  <c r="F101" i="2" s="1"/>
  <c r="C4" i="2" l="1"/>
  <c r="C113" i="1"/>
  <c r="C96" i="2" l="1"/>
  <c r="K13" i="4"/>
  <c r="J13" i="4"/>
  <c r="L13" i="4"/>
  <c r="E13" i="4"/>
  <c r="F13" i="4"/>
  <c r="G13" i="4"/>
  <c r="H13" i="4"/>
  <c r="I13" i="4"/>
  <c r="D96" i="2"/>
  <c r="C15" i="2"/>
  <c r="E7" i="4" s="1"/>
  <c r="AI7" i="4" l="1"/>
  <c r="E24" i="4"/>
  <c r="J30" i="4"/>
  <c r="J35" i="4" s="1"/>
  <c r="J18" i="4"/>
  <c r="E30" i="4"/>
  <c r="AI30" i="4" s="1"/>
  <c r="AI13" i="4"/>
  <c r="I30" i="4"/>
  <c r="L30" i="4"/>
  <c r="L35" i="4" s="1"/>
  <c r="L18" i="4"/>
  <c r="G30" i="4"/>
  <c r="K18" i="4"/>
  <c r="K30" i="4"/>
  <c r="K35" i="4" s="1"/>
  <c r="H30" i="4"/>
  <c r="F30" i="4"/>
  <c r="C18" i="1"/>
  <c r="AI24" i="4" l="1"/>
  <c r="I9" i="1"/>
  <c r="E5" i="2"/>
  <c r="E4" i="2"/>
  <c r="F48" i="4" l="1"/>
  <c r="I48" i="4"/>
  <c r="G48" i="4"/>
  <c r="H48" i="4"/>
  <c r="E48" i="4"/>
  <c r="J48" i="4"/>
  <c r="K48" i="4"/>
  <c r="L48" i="4"/>
  <c r="E96" i="2"/>
  <c r="E30" i="2"/>
  <c r="E8" i="2"/>
  <c r="E10" i="2"/>
  <c r="E102" i="2" s="1"/>
  <c r="F102" i="2" s="1"/>
  <c r="C38" i="1"/>
  <c r="E100" i="2" l="1"/>
  <c r="F100" i="2" s="1"/>
  <c r="E46" i="4"/>
  <c r="H65" i="4"/>
  <c r="E65" i="4"/>
  <c r="AI48" i="4"/>
  <c r="G65" i="4"/>
  <c r="L65" i="4"/>
  <c r="L70" i="4" s="1"/>
  <c r="L53" i="4"/>
  <c r="K53" i="4"/>
  <c r="K65" i="4"/>
  <c r="K70" i="4" s="1"/>
  <c r="I65" i="4"/>
  <c r="F65" i="4"/>
  <c r="J53" i="4"/>
  <c r="J65" i="4"/>
  <c r="J70" i="4" s="1"/>
  <c r="C38" i="2"/>
  <c r="C120" i="2" s="1"/>
  <c r="C37" i="2"/>
  <c r="F96" i="2"/>
  <c r="C136" i="1"/>
  <c r="C43" i="2"/>
  <c r="C125" i="2" s="1"/>
  <c r="C12" i="2"/>
  <c r="AI65" i="4" l="1"/>
  <c r="E63" i="4"/>
  <c r="AI63" i="4" s="1"/>
  <c r="AI46" i="4"/>
  <c r="I5" i="1"/>
  <c r="H5" i="1"/>
  <c r="C119" i="1" l="1"/>
  <c r="E6" i="2" l="1"/>
  <c r="C40" i="1"/>
  <c r="E14" i="2" l="1"/>
  <c r="E15" i="2" s="1"/>
  <c r="E95" i="2" s="1"/>
  <c r="E44" i="4"/>
  <c r="F49" i="4"/>
  <c r="G49" i="4"/>
  <c r="H49" i="4"/>
  <c r="E49" i="4"/>
  <c r="I49" i="4"/>
  <c r="C41" i="1"/>
  <c r="H12" i="1"/>
  <c r="E11" i="2"/>
  <c r="E42" i="4" l="1"/>
  <c r="AI42" i="4" s="1"/>
  <c r="I66" i="4"/>
  <c r="I70" i="4" s="1"/>
  <c r="I53" i="4"/>
  <c r="E66" i="4"/>
  <c r="AI49" i="4"/>
  <c r="H66" i="4"/>
  <c r="H70" i="4" s="1"/>
  <c r="H53" i="4"/>
  <c r="G66" i="4"/>
  <c r="G53" i="4"/>
  <c r="E61" i="4"/>
  <c r="AI61" i="4" s="1"/>
  <c r="AI44" i="4"/>
  <c r="F66" i="4"/>
  <c r="F70" i="4" s="1"/>
  <c r="F53" i="4"/>
  <c r="E103" i="2"/>
  <c r="F103" i="2" s="1"/>
  <c r="C42" i="1"/>
  <c r="C39" i="1"/>
  <c r="D38" i="2" s="1"/>
  <c r="F120" i="2" s="1"/>
  <c r="E53" i="4" l="1"/>
  <c r="AI53" i="4" s="1"/>
  <c r="E59" i="4"/>
  <c r="AI66" i="4"/>
  <c r="G70" i="4"/>
  <c r="AI59" i="4"/>
  <c r="E70" i="4"/>
  <c r="AI70" i="4" s="1"/>
  <c r="D39" i="2"/>
  <c r="D37" i="2"/>
  <c r="D40" i="2"/>
  <c r="D45" i="2"/>
  <c r="F127" i="2" s="1"/>
  <c r="C137" i="1"/>
  <c r="C139" i="1" s="1"/>
  <c r="D41" i="2"/>
  <c r="F123" i="2" s="1"/>
  <c r="D43" i="2"/>
  <c r="F125" i="2" s="1"/>
  <c r="D44" i="2"/>
  <c r="F126" i="2" s="1"/>
  <c r="D42" i="2"/>
  <c r="F124" i="2" s="1"/>
  <c r="C10" i="2"/>
  <c r="C7" i="2"/>
  <c r="E10" i="4" s="1"/>
  <c r="E12" i="2"/>
  <c r="D46" i="2" s="1"/>
  <c r="C8" i="2"/>
  <c r="C6" i="2"/>
  <c r="E97" i="2"/>
  <c r="B137" i="2"/>
  <c r="C97" i="2"/>
  <c r="D97" i="2" s="1"/>
  <c r="E9" i="4" l="1"/>
  <c r="H14" i="4"/>
  <c r="E14" i="4"/>
  <c r="G14" i="4"/>
  <c r="I14" i="4"/>
  <c r="F14" i="4"/>
  <c r="C100" i="2"/>
  <c r="D100" i="2" s="1"/>
  <c r="E11" i="4"/>
  <c r="AI10" i="4"/>
  <c r="E27" i="4"/>
  <c r="AI27" i="4" s="1"/>
  <c r="B150" i="2"/>
  <c r="D158" i="2"/>
  <c r="F97" i="2"/>
  <c r="C41" i="2"/>
  <c r="C123" i="2" s="1"/>
  <c r="C99" i="2"/>
  <c r="D99" i="2" s="1"/>
  <c r="C102" i="2"/>
  <c r="D102" i="2" s="1"/>
  <c r="C44" i="2"/>
  <c r="C126" i="2" s="1"/>
  <c r="C11" i="2"/>
  <c r="C42" i="2"/>
  <c r="C124" i="2" s="1"/>
  <c r="F39" i="2"/>
  <c r="F37" i="2"/>
  <c r="G39" i="2"/>
  <c r="G37" i="2"/>
  <c r="B138" i="2"/>
  <c r="H39" i="1"/>
  <c r="G120" i="2" s="1"/>
  <c r="H38" i="1"/>
  <c r="B136" i="2"/>
  <c r="I39" i="1"/>
  <c r="H120" i="2" s="1"/>
  <c r="H41" i="1"/>
  <c r="H42" i="1" s="1"/>
  <c r="I38" i="1"/>
  <c r="I41" i="1"/>
  <c r="I42" i="1" s="1"/>
  <c r="E28" i="4" l="1"/>
  <c r="AI28" i="4" s="1"/>
  <c r="AI11" i="4"/>
  <c r="F31" i="4"/>
  <c r="F35" i="4" s="1"/>
  <c r="F18" i="4"/>
  <c r="I31" i="4"/>
  <c r="I35" i="4" s="1"/>
  <c r="I18" i="4"/>
  <c r="G31" i="4"/>
  <c r="G35" i="4" s="1"/>
  <c r="G18" i="4"/>
  <c r="E31" i="4"/>
  <c r="AI14" i="4"/>
  <c r="H31" i="4"/>
  <c r="H35" i="4" s="1"/>
  <c r="H18" i="4"/>
  <c r="AI9" i="4"/>
  <c r="E26" i="4"/>
  <c r="E18" i="4"/>
  <c r="D120" i="2"/>
  <c r="E120" i="2"/>
  <c r="B151" i="2"/>
  <c r="D159" i="2"/>
  <c r="B149" i="2"/>
  <c r="D157" i="2"/>
  <c r="G121" i="2"/>
  <c r="C45" i="2"/>
  <c r="C127" i="2" s="1"/>
  <c r="C103" i="2"/>
  <c r="D103" i="2" s="1"/>
  <c r="E127" i="2" s="1"/>
  <c r="G125" i="2"/>
  <c r="G124" i="2"/>
  <c r="G123" i="2"/>
  <c r="G127" i="2"/>
  <c r="E104" i="2"/>
  <c r="G126" i="2"/>
  <c r="E124" i="2"/>
  <c r="E123" i="2"/>
  <c r="E126" i="2"/>
  <c r="D104" i="2"/>
  <c r="E128" i="2" s="1"/>
  <c r="E125" i="2"/>
  <c r="H126" i="2"/>
  <c r="H125" i="2"/>
  <c r="H124" i="2"/>
  <c r="F104" i="2"/>
  <c r="H123" i="2"/>
  <c r="H127" i="2"/>
  <c r="D124" i="2"/>
  <c r="D123" i="2"/>
  <c r="D126" i="2"/>
  <c r="D125" i="2"/>
  <c r="C104" i="2"/>
  <c r="D128" i="2" s="1"/>
  <c r="F38" i="2"/>
  <c r="H39" i="2"/>
  <c r="H37" i="2"/>
  <c r="G38" i="2"/>
  <c r="H121" i="2"/>
  <c r="F137" i="1"/>
  <c r="H137" i="1"/>
  <c r="E106" i="2" s="1"/>
  <c r="G137" i="1"/>
  <c r="D106" i="2" s="1"/>
  <c r="I137" i="1"/>
  <c r="F106" i="2" s="1"/>
  <c r="E121" i="2"/>
  <c r="D121" i="2"/>
  <c r="AI26" i="4" l="1"/>
  <c r="E35" i="4"/>
  <c r="AI35" i="4" s="1"/>
  <c r="AI18" i="4"/>
  <c r="AI31" i="4"/>
  <c r="D127" i="2"/>
  <c r="C106" i="2"/>
  <c r="E130" i="2"/>
  <c r="G130" i="2"/>
  <c r="H130" i="2"/>
  <c r="D130" i="2" l="1"/>
  <c r="F95" i="2"/>
  <c r="H119" i="2" s="1"/>
  <c r="G119" i="2"/>
  <c r="C138" i="1" l="1"/>
  <c r="C18" i="2" s="1"/>
  <c r="C39" i="2"/>
  <c r="C121" i="2" s="1"/>
  <c r="C46" i="2"/>
  <c r="C40" i="2"/>
  <c r="C119" i="2"/>
  <c r="F122" i="2"/>
  <c r="E98" i="2"/>
  <c r="C95" i="2"/>
  <c r="D119" i="2" s="1"/>
  <c r="E18" i="2"/>
  <c r="D48" i="2" s="1"/>
  <c r="C98" i="2"/>
  <c r="D122" i="2" s="1"/>
  <c r="C48" i="2" l="1"/>
  <c r="C130" i="2" s="1"/>
  <c r="F98" i="2"/>
  <c r="H122" i="2" s="1"/>
  <c r="G122" i="2"/>
  <c r="H128" i="2"/>
  <c r="G128" i="2"/>
  <c r="D98" i="2"/>
  <c r="E122" i="2" s="1"/>
  <c r="D95" i="2"/>
  <c r="C122" i="2"/>
  <c r="F128" i="2"/>
  <c r="F130" i="2"/>
  <c r="C128" i="2"/>
  <c r="F121" i="2"/>
  <c r="E119" i="2" l="1"/>
  <c r="H38" i="2" l="1"/>
  <c r="F119" i="2" l="1"/>
  <c r="E77" i="1" l="1"/>
  <c r="E78" i="1" l="1"/>
  <c r="E79" i="1" l="1"/>
  <c r="E80" i="1" l="1"/>
  <c r="E81" i="1" s="1"/>
  <c r="E82" i="1" l="1"/>
  <c r="E83" i="1" l="1"/>
  <c r="C105" i="2" l="1"/>
  <c r="D105" i="2"/>
  <c r="C13" i="2"/>
  <c r="F105" i="2"/>
  <c r="E84" i="1"/>
  <c r="E105" i="2"/>
  <c r="E13" i="2"/>
  <c r="E108" i="2" l="1"/>
  <c r="G129" i="2"/>
  <c r="E16" i="2"/>
  <c r="F4" i="2"/>
  <c r="F10" i="2"/>
  <c r="F5" i="2"/>
  <c r="F6" i="2"/>
  <c r="F7" i="2"/>
  <c r="F11" i="2"/>
  <c r="F13" i="2"/>
  <c r="F9" i="2"/>
  <c r="F12" i="2"/>
  <c r="F8" i="2"/>
  <c r="D47" i="2"/>
  <c r="F129" i="2" s="1"/>
  <c r="H129" i="2"/>
  <c r="F108" i="2"/>
  <c r="C16" i="2"/>
  <c r="D6" i="2"/>
  <c r="D12" i="2"/>
  <c r="D8" i="2"/>
  <c r="D5" i="2"/>
  <c r="D4" i="2"/>
  <c r="D7" i="2"/>
  <c r="D9" i="2"/>
  <c r="D11" i="2"/>
  <c r="D13" i="2"/>
  <c r="D10" i="2"/>
  <c r="C47" i="2"/>
  <c r="C129" i="2" s="1"/>
  <c r="D108" i="2"/>
  <c r="E129" i="2"/>
  <c r="D129" i="2"/>
  <c r="C108" i="2"/>
  <c r="E85" i="1"/>
  <c r="H132" i="2" l="1"/>
  <c r="D149" i="2" s="1"/>
  <c r="J157" i="2" s="1"/>
  <c r="I157" i="2" s="1"/>
  <c r="H131" i="2"/>
  <c r="D136" i="2" s="1"/>
  <c r="H157" i="2" s="1"/>
  <c r="G157" i="2" s="1"/>
  <c r="F109" i="2"/>
  <c r="F112" i="2"/>
  <c r="F113" i="2" s="1"/>
  <c r="F131" i="2"/>
  <c r="D137" i="2" s="1"/>
  <c r="H158" i="2" s="1"/>
  <c r="G158" i="2" s="1"/>
  <c r="F132" i="2"/>
  <c r="D150" i="2" s="1"/>
  <c r="J158" i="2" s="1"/>
  <c r="I158" i="2" s="1"/>
  <c r="E21" i="2"/>
  <c r="E22" i="2" s="1"/>
  <c r="E19" i="2"/>
  <c r="E17" i="2"/>
  <c r="G131" i="2"/>
  <c r="D138" i="2" s="1"/>
  <c r="H159" i="2" s="1"/>
  <c r="G159" i="2" s="1"/>
  <c r="G132" i="2"/>
  <c r="D151" i="2" s="1"/>
  <c r="J159" i="2" s="1"/>
  <c r="I159" i="2" s="1"/>
  <c r="E112" i="2"/>
  <c r="E113" i="2" s="1"/>
  <c r="E109" i="2"/>
  <c r="E131" i="2"/>
  <c r="C136" i="2" s="1"/>
  <c r="F157" i="2" s="1"/>
  <c r="E157" i="2" s="1"/>
  <c r="E132" i="2"/>
  <c r="C149" i="2" s="1"/>
  <c r="C109" i="2"/>
  <c r="C112" i="2"/>
  <c r="C113" i="2" s="1"/>
  <c r="D112" i="2"/>
  <c r="D113" i="2" s="1"/>
  <c r="D109" i="2"/>
  <c r="D132" i="2"/>
  <c r="C151" i="2" s="1"/>
  <c r="D131" i="2"/>
  <c r="C138" i="2" s="1"/>
  <c r="F159" i="2" s="1"/>
  <c r="E159" i="2" s="1"/>
  <c r="C131" i="2"/>
  <c r="C137" i="2" s="1"/>
  <c r="F158" i="2" s="1"/>
  <c r="E158" i="2" s="1"/>
  <c r="C132" i="2"/>
  <c r="C150" i="2" s="1"/>
  <c r="C21" i="2"/>
  <c r="C22" i="2" s="1"/>
  <c r="C17" i="2"/>
  <c r="C19" i="2"/>
  <c r="E86" i="1"/>
  <c r="G22" i="2" l="1"/>
  <c r="E25" i="2"/>
  <c r="E26" i="2" s="1"/>
  <c r="E20" i="2"/>
  <c r="C25" i="2"/>
  <c r="C26" i="2" s="1"/>
  <c r="C20" i="2"/>
  <c r="E87" i="1"/>
  <c r="G26" i="2" l="1"/>
  <c r="E88" i="1"/>
  <c r="E89" i="1" l="1"/>
  <c r="E90" i="1" l="1"/>
  <c r="E91" i="1" l="1"/>
  <c r="E92" i="1" l="1"/>
  <c r="E93" i="1" l="1"/>
  <c r="E94" i="1" l="1"/>
  <c r="E95" i="1" l="1"/>
  <c r="E96" i="1" l="1"/>
  <c r="E97" i="1" l="1"/>
  <c r="E98" i="1" l="1"/>
  <c r="E99" i="1" l="1"/>
  <c r="E100" i="1" l="1"/>
  <c r="E101" i="1" l="1"/>
  <c r="E102" i="1" l="1"/>
  <c r="E103" i="1" l="1"/>
  <c r="E10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Marquez</author>
    <author>NATHALIA ORTIZ</author>
  </authors>
  <commentList>
    <comment ref="A61" authorId="0" shapeId="0" xr:uid="{F7A70620-A568-438E-AC41-9CC6A5182A7A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Tarifa electromovilidad valle</t>
        </r>
      </text>
    </comment>
    <comment ref="G62" authorId="0" shapeId="0" xr:uid="{6340EC60-B51E-4315-B444-FA1C14B1FAF7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En el aumento de la potencia contratada</t>
        </r>
      </text>
    </comment>
    <comment ref="A63" authorId="0" shapeId="0" xr:uid="{3A93D7D7-E98C-4467-BECB-2E7D0B987BCD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Medianos consumidores - MC2 </t>
        </r>
      </text>
    </comment>
    <comment ref="A66" authorId="0" shapeId="0" xr:uid="{232A49D8-DC19-40C5-A818-E588D9DB77BB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Medianos consumidores - MC2</t>
        </r>
      </text>
    </comment>
    <comment ref="C74" authorId="1" shapeId="0" xr:uid="{6B64DD85-D40B-4948-9EEA-000501879636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Valle</t>
        </r>
      </text>
    </comment>
    <comment ref="D74" authorId="1" shapeId="0" xr:uid="{1330DE02-16FD-4D51-BF28-088A5056005E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'Llano'</t>
        </r>
      </text>
    </comment>
    <comment ref="E74" authorId="1" shapeId="0" xr:uid="{33A2CFC8-75A2-41B7-9914-5CF404A22BD0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Tarifa medianos consumidores MC2 </t>
        </r>
      </text>
    </comment>
    <comment ref="F74" authorId="1" shapeId="0" xr:uid="{65061529-F8C2-478A-86F4-A9ABF57F811D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Tarifa medianos consumidores MC2 </t>
        </r>
      </text>
    </comment>
  </commentList>
</comments>
</file>

<file path=xl/sharedStrings.xml><?xml version="1.0" encoding="utf-8"?>
<sst xmlns="http://schemas.openxmlformats.org/spreadsheetml/2006/main" count="512" uniqueCount="220">
  <si>
    <t>CAPEX</t>
  </si>
  <si>
    <t>USD</t>
  </si>
  <si>
    <t>L/100km</t>
  </si>
  <si>
    <t>USD/km</t>
  </si>
  <si>
    <t>kWh/km</t>
  </si>
  <si>
    <t>%CAPEX</t>
  </si>
  <si>
    <t>USD/kWh</t>
  </si>
  <si>
    <t>kWh</t>
  </si>
  <si>
    <t>km</t>
  </si>
  <si>
    <t>%</t>
  </si>
  <si>
    <t>USD/L</t>
  </si>
  <si>
    <t>https://www.xe.com/currencyconverter/convert/?Amount=1&amp;From=UYU&amp;To=USD</t>
  </si>
  <si>
    <t>tCO2/MWh</t>
  </si>
  <si>
    <t>gCO2e/km</t>
  </si>
  <si>
    <t>USD/tCO2e</t>
  </si>
  <si>
    <t>1- CAPEX</t>
  </si>
  <si>
    <t>2- ADMIN</t>
  </si>
  <si>
    <t>3- O&amp;M</t>
  </si>
  <si>
    <t>tCO2e</t>
  </si>
  <si>
    <t>WTW EURO 5</t>
  </si>
  <si>
    <t>ICE</t>
  </si>
  <si>
    <t>TOTAL</t>
  </si>
  <si>
    <t>BEV</t>
  </si>
  <si>
    <t>KWh</t>
  </si>
  <si>
    <t>IMM 2019</t>
  </si>
  <si>
    <t>https://montevideo.gub.uy/sites/default/files/biblioteca/informefinalt.oneroso12032019_0.pdf</t>
  </si>
  <si>
    <t>BROU 2020</t>
  </si>
  <si>
    <t>https://www.brou.com.uy/documents/20182/49226/Tasas_20160905.pdf/3c2a1575-f48e-440d-bd97-f4a87fb1619e</t>
  </si>
  <si>
    <t>https://montevideo.gub.uy/noticias/movilidad-y-transporte/nueva-convocatoria-para-taxis-100-electricos#:~:text=Subsidio%20para%20el%20recambio%20de,Administraci%C3%B3n%20del%20Transporte%20(Ejido%201290)</t>
  </si>
  <si>
    <t>IM 2019</t>
  </si>
  <si>
    <t>-</t>
  </si>
  <si>
    <t>Equity</t>
  </si>
  <si>
    <t>1 - Información del vehículo</t>
  </si>
  <si>
    <t>Parámetro</t>
  </si>
  <si>
    <t>Unidad</t>
  </si>
  <si>
    <t>Valor</t>
  </si>
  <si>
    <t>Fuente</t>
  </si>
  <si>
    <t>Vida útil</t>
  </si>
  <si>
    <t>años</t>
  </si>
  <si>
    <t>Eficiencia vehicular</t>
  </si>
  <si>
    <t>Costos de mantenimiento</t>
  </si>
  <si>
    <t>Tamaño de la batería</t>
  </si>
  <si>
    <t>Vida útil de la batería</t>
  </si>
  <si>
    <t>70% SOC</t>
  </si>
  <si>
    <t>Vida útil del cargador</t>
  </si>
  <si>
    <t>Proporción de carga rápida pública</t>
  </si>
  <si>
    <t>año</t>
  </si>
  <si>
    <t>Basado en GC</t>
  </si>
  <si>
    <t>Valor estándar</t>
  </si>
  <si>
    <t>2 - Datos de actividad</t>
  </si>
  <si>
    <t>Kilómetros por año</t>
  </si>
  <si>
    <t>km/año</t>
  </si>
  <si>
    <t>Total kilómetros ICE</t>
  </si>
  <si>
    <t>Total kilómetros BEV</t>
  </si>
  <si>
    <t>Días operativos por año</t>
  </si>
  <si>
    <t>días/año</t>
  </si>
  <si>
    <t>Recorrido diario</t>
  </si>
  <si>
    <t>Consumo de energía diario</t>
  </si>
  <si>
    <t>Calculado</t>
  </si>
  <si>
    <t>Proporción de la financiación de la deuda</t>
  </si>
  <si>
    <t>Tenencia del préstamo</t>
  </si>
  <si>
    <t>Tasa de interés ICE</t>
  </si>
  <si>
    <t>%/año</t>
  </si>
  <si>
    <t>Tasa de interés BEV</t>
  </si>
  <si>
    <t>Moneda local a USD</t>
  </si>
  <si>
    <t>Mon. local/USD</t>
  </si>
  <si>
    <t>4 - Costos de energía</t>
  </si>
  <si>
    <t>3 - Costos de financiamiento</t>
  </si>
  <si>
    <t>Electricidad - cargador rápido público</t>
  </si>
  <si>
    <t>5 - Impuestos</t>
  </si>
  <si>
    <t>Tasa consular</t>
  </si>
  <si>
    <t>IVA</t>
  </si>
  <si>
    <t>Patente anual</t>
  </si>
  <si>
    <t>USD/año</t>
  </si>
  <si>
    <t>FE red (tCO2/MWh)</t>
  </si>
  <si>
    <t>Costo de CO2e</t>
  </si>
  <si>
    <t>Emisiones totales ICE</t>
  </si>
  <si>
    <t>Emisiones totales BEV</t>
  </si>
  <si>
    <t>Costo Emisiones ICE</t>
  </si>
  <si>
    <t>Costo Emisiones BEV</t>
  </si>
  <si>
    <t>Año</t>
  </si>
  <si>
    <t>CAPEX vehículo</t>
  </si>
  <si>
    <t>CAPEX cargador</t>
  </si>
  <si>
    <t>Electricidad</t>
  </si>
  <si>
    <t>Sensibilidad</t>
  </si>
  <si>
    <t>CTP 2021</t>
  </si>
  <si>
    <t>Contribución</t>
  </si>
  <si>
    <t>Costos de financiamiento</t>
  </si>
  <si>
    <t>Costo Energía</t>
  </si>
  <si>
    <t>4 - Emisiones</t>
  </si>
  <si>
    <t>Costos económicos de las emisiones</t>
  </si>
  <si>
    <t>CTP financiero (USD)</t>
  </si>
  <si>
    <t>CTP financiero (USD/km)</t>
  </si>
  <si>
    <t>CTP (USD/km.pax)</t>
  </si>
  <si>
    <t>CTP económico (USD)</t>
  </si>
  <si>
    <t>CTP económico (USD/km)</t>
  </si>
  <si>
    <t>Subsidios (USD/bus)</t>
  </si>
  <si>
    <t>Reducción de impuestos (USD/bus)</t>
  </si>
  <si>
    <t>CTP 2021 (USD/km)</t>
  </si>
  <si>
    <t>Fuentes</t>
  </si>
  <si>
    <t>Sensibilidad costos de emisión</t>
  </si>
  <si>
    <t>Camión ICE</t>
  </si>
  <si>
    <t>Camión eléctrico</t>
  </si>
  <si>
    <t>IMESI</t>
  </si>
  <si>
    <t>Eléctrico</t>
  </si>
  <si>
    <t>Camión Diésel</t>
  </si>
  <si>
    <t>Camión Eléctrico</t>
  </si>
  <si>
    <t>Gasoil 50-S</t>
  </si>
  <si>
    <t>Carga Camión eléctrico</t>
  </si>
  <si>
    <t>% BEV/ICE</t>
  </si>
  <si>
    <t>- Cotizado por Purdy Motor bajo una tasa de 36 meses, 140,000 km a 330USD/mes
-[FCH JU, 2017]</t>
  </si>
  <si>
    <t>- 10% más alto 
- Cotizado por Purdy Motor bajo una tasa de 36 meses, 140,000 km a 330USD/mes
-[FCH JU, 2017]</t>
  </si>
  <si>
    <t>Misma vida útil de la batería</t>
  </si>
  <si>
    <t>TGA</t>
  </si>
  <si>
    <t>Patente</t>
  </si>
  <si>
    <t>Reducción del costo de la batería 2020-2028</t>
  </si>
  <si>
    <t>Proyecciones del US DOE</t>
  </si>
  <si>
    <t>https://www.energy.gov/sites/prod/files/2017/02/f34/67089%20EERE%20LIB%20cost%20vs%20price%20metrics%20r9.pdf</t>
  </si>
  <si>
    <t>Reducción del costo de la batería 2020-2038</t>
  </si>
  <si>
    <t xml:space="preserve">Tasa consular </t>
  </si>
  <si>
    <t>Basado en IMM 2019</t>
  </si>
  <si>
    <t>Uso intensivo</t>
  </si>
  <si>
    <t>Uso bajo</t>
  </si>
  <si>
    <t>Combustión</t>
  </si>
  <si>
    <t>Combustión 
Uso intensivo</t>
  </si>
  <si>
    <t>Combustión
Uso bajo</t>
  </si>
  <si>
    <t>Eléctrico
Uso intensivo</t>
  </si>
  <si>
    <t>Eléctrico
Uso bajo</t>
  </si>
  <si>
    <t>Combustión 
Uso medio</t>
  </si>
  <si>
    <t>Eléctrico
Uso medio</t>
  </si>
  <si>
    <t>6 - Beneficios COMAP</t>
  </si>
  <si>
    <t>% Recuperación de la inversión</t>
  </si>
  <si>
    <t>7 - Emisiones GEI</t>
  </si>
  <si>
    <t>Inversión de capital</t>
  </si>
  <si>
    <t>Préstamo</t>
  </si>
  <si>
    <t>4 - Beneficios COMAP</t>
  </si>
  <si>
    <t>Monto recuperado de la inversión</t>
  </si>
  <si>
    <t>CAPEX con COMAP</t>
  </si>
  <si>
    <t>CAPEX LCV con COMAP</t>
  </si>
  <si>
    <t>CAPEX infraestructura de carga</t>
  </si>
  <si>
    <t>Mantenimiento del vehículo</t>
  </si>
  <si>
    <t>Factor de uso</t>
  </si>
  <si>
    <t>Días operativos</t>
  </si>
  <si>
    <t>30 L/100 km</t>
  </si>
  <si>
    <t>CAPEX Camión</t>
  </si>
  <si>
    <t>CAPEX Camión con COMAP</t>
  </si>
  <si>
    <t>CAPEX Camión SIn COMAP</t>
  </si>
  <si>
    <t>CTP con COMAP</t>
  </si>
  <si>
    <t>CTP sin COMAP</t>
  </si>
  <si>
    <t>Con COMAP</t>
  </si>
  <si>
    <t>Sin COMAP</t>
  </si>
  <si>
    <t>Tipo de uso</t>
  </si>
  <si>
    <t>Kilometraje anual</t>
  </si>
  <si>
    <t>Con beneficios COMAP</t>
  </si>
  <si>
    <t>Sin beneficios COMAP</t>
  </si>
  <si>
    <t>Bajo</t>
  </si>
  <si>
    <t>Medio</t>
  </si>
  <si>
    <t>Intensivo</t>
  </si>
  <si>
    <t>Diésel</t>
  </si>
  <si>
    <t>Vida útil camión</t>
  </si>
  <si>
    <t>Vida útil batería</t>
  </si>
  <si>
    <t>CAPEX camión</t>
  </si>
  <si>
    <t>Vida útil del camión</t>
  </si>
  <si>
    <t>USD/kW</t>
  </si>
  <si>
    <t>Camión diésel</t>
  </si>
  <si>
    <t>40kW, incluye instalación de caja de pared</t>
  </si>
  <si>
    <t>Potencia cargador</t>
  </si>
  <si>
    <t>kW</t>
  </si>
  <si>
    <t>https://www.volvotrucks.co.uk/en-gb/trucks/trucks/volvo-fl/volvo-fl-electric.html</t>
  </si>
  <si>
    <t>Proporción de carga en depot</t>
  </si>
  <si>
    <t>(UYU/L)</t>
  </si>
  <si>
    <t>(USD/L)</t>
  </si>
  <si>
    <t>Aumento costo electricidad</t>
  </si>
  <si>
    <t>Sin embargo, se pueden incorporar agregando una tasa de crecimiento para cada uno</t>
  </si>
  <si>
    <t>Aumento cargo por potencia</t>
  </si>
  <si>
    <t>Proyección CAPEX batería</t>
  </si>
  <si>
    <t>0,48 kWh/km</t>
  </si>
  <si>
    <t>Valle</t>
  </si>
  <si>
    <t>Llano</t>
  </si>
  <si>
    <t>(UYU/kWh)</t>
  </si>
  <si>
    <t>(USD/kWh)</t>
  </si>
  <si>
    <t>Precio electricidad</t>
  </si>
  <si>
    <t>(UYU/kW)</t>
  </si>
  <si>
    <t>(USD/kW)</t>
  </si>
  <si>
    <t>Descuento del Plan de Movilidad Eléctrica (PME)</t>
  </si>
  <si>
    <t>Tarifa por potencia máxima medida</t>
  </si>
  <si>
    <t>Con descuento (PME)</t>
  </si>
  <si>
    <t>(UYU)</t>
  </si>
  <si>
    <t>(USD)</t>
  </si>
  <si>
    <t>Cargo fijo mensual</t>
  </si>
  <si>
    <t>Precio gasoil</t>
  </si>
  <si>
    <t xml:space="preserve">La tarifa por potencia medida para carga en hora valle </t>
  </si>
  <si>
    <t>actualmente es 0, pero aumentará a partir de 07/22</t>
  </si>
  <si>
    <t>Los cálculos se realizan sin considerar proyecciones de costo de los energéticos, los cargos por potencia y el cargo fijo mensual</t>
  </si>
  <si>
    <t>Aumento cargo fijo mensual</t>
  </si>
  <si>
    <t>Cargo por potencia</t>
  </si>
  <si>
    <t>Gasoil</t>
  </si>
  <si>
    <t>Aumento costo gasoil</t>
  </si>
  <si>
    <t>Electricidad - 
carga en depot</t>
  </si>
  <si>
    <t>Ancap 2022</t>
  </si>
  <si>
    <t>https://www.ute.com.uy/sites/default/files/docs/Pliego%20Tarifario%20Vigente%20desde%201%20de%20Enero%20de%202022.pdf</t>
  </si>
  <si>
    <t>Tasa de descuento</t>
  </si>
  <si>
    <t>Costos (VP)</t>
  </si>
  <si>
    <t>Total</t>
  </si>
  <si>
    <t>5 - Emisiones</t>
  </si>
  <si>
    <t>Factor de descuento</t>
  </si>
  <si>
    <t>Costos descontados</t>
  </si>
  <si>
    <t>CAMIÓN DIÉSEL</t>
  </si>
  <si>
    <t>CAMIÓN ELÉCTRICO</t>
  </si>
  <si>
    <t>Hino Serie GH8J-Long</t>
  </si>
  <si>
    <t>Volvo FL Electric Truck</t>
  </si>
  <si>
    <t>Flujo de caja - Camión Carga Pesada</t>
  </si>
  <si>
    <t>CTP Camiones de Carga Pesada (16 ton)</t>
  </si>
  <si>
    <t>INSTRUCCIONES PARA EL USO DE LA HERRAMIENTA</t>
  </si>
  <si>
    <r>
      <t xml:space="preserve">La pestaña </t>
    </r>
    <r>
      <rPr>
        <b/>
        <sz val="11"/>
        <color theme="1"/>
        <rFont val="Century Gothic"/>
        <family val="2"/>
      </rPr>
      <t>"Parametros"</t>
    </r>
    <r>
      <rPr>
        <sz val="11"/>
        <color theme="1"/>
        <rFont val="Century Gothic"/>
        <family val="2"/>
      </rPr>
      <t xml:space="preserve"> incluye toda la información en la que se basan los diferentes cálculos</t>
    </r>
  </si>
  <si>
    <t>Los valores indicados en amarillo claro son parámetros que el usuario debe ajustar para reflejar sus necesidades específicas</t>
  </si>
  <si>
    <t>Los valores indicados en amarillo oscuro son parámetros que el usuario puede cambiar si desea, pero que en general son valores estándar recomendados</t>
  </si>
  <si>
    <t>Los valores que se muestran en azul son cálculos intermedios que realiza la herramienta (no modificar las celdas)</t>
  </si>
  <si>
    <r>
      <t xml:space="preserve">La pestaña </t>
    </r>
    <r>
      <rPr>
        <b/>
        <sz val="11"/>
        <color theme="1"/>
        <rFont val="Century Gothic"/>
        <family val="2"/>
      </rPr>
      <t>"CTP"</t>
    </r>
    <r>
      <rPr>
        <sz val="11"/>
        <color theme="1"/>
        <rFont val="Century Gothic"/>
        <family val="2"/>
      </rPr>
      <t xml:space="preserve"> arroja los resultados de los análisis de Costo Total de Propiedad, bajo una tasa de descuento del 0% (no modificar)</t>
    </r>
  </si>
  <si>
    <r>
      <t xml:space="preserve">La pestaña </t>
    </r>
    <r>
      <rPr>
        <b/>
        <sz val="11"/>
        <color theme="1"/>
        <rFont val="Century Gothic"/>
        <family val="2"/>
      </rPr>
      <t>"CTP Valor Presente"</t>
    </r>
    <r>
      <rPr>
        <sz val="11"/>
        <color theme="1"/>
        <rFont val="Century Gothic"/>
        <family val="2"/>
      </rPr>
      <t xml:space="preserve"> muestra el flujo de caja del CTP y permite colocar una tasa de descuento para mostrar los resultados del CTP en valor presente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</si>
</sst>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00"/>
    <numFmt numFmtId="166" formatCode="0.0%"/>
    <numFmt numFmtId="167" formatCode="&quot;$&quot;#,##0"/>
    <numFmt numFmtId="168" formatCode="&quot;$&quot;#,##0.00"/>
    <numFmt numFmtId="169" formatCode="&quot;$&quot;#,##0.000"/>
    <numFmt numFmtId="170" formatCode="&quot;$&quot;\ #,##0"/>
    <numFmt numFmtId="171" formatCode="&quot;$&quot;\ #,##0.000"/>
    <numFmt numFmtId="172" formatCode="_-&quot;$&quot;\ * #,##0.000_-;\-&quot;$&quot;\ * #,##0.000_-;_-&quot;$&quot;\ * &quot;-&quot;??_-;_-@_-"/>
    <numFmt numFmtId="173" formatCode="0.0"/>
    <numFmt numFmtId="174" formatCode="_-&quot;$&quot;\ * #,##0.00_-;\-&quot;$&quot;\ * #,##0.00_-;_-&quot;$&quot;\ * &quot;-&quot;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entury Gothic"/>
      <family val="2"/>
    </font>
    <font>
      <b/>
      <sz val="10"/>
      <color rgb="FF00B0F0"/>
      <name val="Century Gothic"/>
      <family val="2"/>
    </font>
    <font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 tint="0.249977111117893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sz val="9"/>
      <name val="Century Gothi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entury Gothic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73">
    <xf numFmtId="0" fontId="0" fillId="0" borderId="0" xfId="0"/>
    <xf numFmtId="0" fontId="4" fillId="5" borderId="0" xfId="0" applyFont="1" applyFill="1" applyAlignment="1">
      <alignment horizontal="center" vertical="center"/>
    </xf>
    <xf numFmtId="2" fontId="5" fillId="5" borderId="0" xfId="0" quotePrefix="1" applyNumberFormat="1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/>
    <xf numFmtId="0" fontId="7" fillId="3" borderId="0" xfId="0" applyFont="1" applyFill="1" applyAlignment="1">
      <alignment horizontal="center" vertical="center"/>
    </xf>
    <xf numFmtId="0" fontId="9" fillId="0" borderId="0" xfId="0" applyFont="1"/>
    <xf numFmtId="0" fontId="10" fillId="4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/>
    <xf numFmtId="1" fontId="4" fillId="6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9" fontId="9" fillId="0" borderId="0" xfId="0" applyNumberFormat="1" applyFont="1"/>
    <xf numFmtId="1" fontId="4" fillId="0" borderId="0" xfId="0" applyNumberFormat="1" applyFont="1" applyFill="1" applyAlignment="1">
      <alignment horizontal="center" vertical="center"/>
    </xf>
    <xf numFmtId="0" fontId="9" fillId="0" borderId="0" xfId="0" applyFont="1" applyBorder="1"/>
    <xf numFmtId="164" fontId="4" fillId="8" borderId="0" xfId="1" applyNumberFormat="1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9" fontId="4" fillId="8" borderId="0" xfId="2" applyFont="1" applyFill="1" applyAlignment="1">
      <alignment horizontal="center" vertical="center"/>
    </xf>
    <xf numFmtId="9" fontId="4" fillId="8" borderId="0" xfId="0" applyNumberFormat="1" applyFont="1" applyFill="1" applyAlignment="1">
      <alignment horizontal="center" vertical="center"/>
    </xf>
    <xf numFmtId="2" fontId="6" fillId="5" borderId="0" xfId="3" applyNumberFormat="1" applyFill="1" applyAlignment="1">
      <alignment horizontal="left" vertical="center" wrapText="1"/>
    </xf>
    <xf numFmtId="0" fontId="6" fillId="5" borderId="0" xfId="3" applyFill="1" applyAlignment="1">
      <alignment wrapText="1"/>
    </xf>
    <xf numFmtId="2" fontId="4" fillId="7" borderId="0" xfId="0" applyNumberFormat="1" applyFont="1" applyFill="1" applyAlignment="1">
      <alignment horizontal="center"/>
    </xf>
    <xf numFmtId="164" fontId="4" fillId="7" borderId="0" xfId="1" applyNumberFormat="1" applyFont="1" applyFill="1" applyAlignment="1">
      <alignment horizontal="center"/>
    </xf>
    <xf numFmtId="0" fontId="10" fillId="4" borderId="0" xfId="0" applyFont="1" applyFill="1" applyAlignment="1">
      <alignment horizontal="right"/>
    </xf>
    <xf numFmtId="165" fontId="4" fillId="5" borderId="0" xfId="0" applyNumberFormat="1" applyFont="1" applyFill="1" applyAlignment="1">
      <alignment horizontal="left" vertical="center" wrapText="1"/>
    </xf>
    <xf numFmtId="2" fontId="4" fillId="5" borderId="0" xfId="0" applyNumberFormat="1" applyFont="1" applyFill="1" applyAlignment="1">
      <alignment horizontal="center" vertical="center" wrapText="1"/>
    </xf>
    <xf numFmtId="0" fontId="10" fillId="0" borderId="0" xfId="0" applyFont="1"/>
    <xf numFmtId="0" fontId="10" fillId="4" borderId="1" xfId="0" applyFont="1" applyFill="1" applyBorder="1"/>
    <xf numFmtId="0" fontId="10" fillId="4" borderId="2" xfId="0" applyFont="1" applyFill="1" applyBorder="1"/>
    <xf numFmtId="0" fontId="4" fillId="0" borderId="0" xfId="0" applyFont="1" applyFill="1"/>
    <xf numFmtId="167" fontId="4" fillId="10" borderId="0" xfId="0" applyNumberFormat="1" applyFont="1" applyFill="1" applyBorder="1"/>
    <xf numFmtId="167" fontId="4" fillId="11" borderId="0" xfId="0" applyNumberFormat="1" applyFont="1" applyFill="1" applyBorder="1"/>
    <xf numFmtId="167" fontId="4" fillId="10" borderId="2" xfId="0" applyNumberFormat="1" applyFont="1" applyFill="1" applyBorder="1"/>
    <xf numFmtId="167" fontId="4" fillId="11" borderId="2" xfId="0" applyNumberFormat="1" applyFont="1" applyFill="1" applyBorder="1"/>
    <xf numFmtId="167" fontId="4" fillId="10" borderId="1" xfId="0" applyNumberFormat="1" applyFont="1" applyFill="1" applyBorder="1"/>
    <xf numFmtId="167" fontId="4" fillId="11" borderId="1" xfId="0" applyNumberFormat="1" applyFont="1" applyFill="1" applyBorder="1"/>
    <xf numFmtId="168" fontId="2" fillId="10" borderId="0" xfId="0" applyNumberFormat="1" applyFont="1" applyFill="1" applyBorder="1"/>
    <xf numFmtId="10" fontId="2" fillId="10" borderId="0" xfId="0" applyNumberFormat="1" applyFont="1" applyFill="1" applyBorder="1"/>
    <xf numFmtId="10" fontId="2" fillId="11" borderId="0" xfId="0" applyNumberFormat="1" applyFont="1" applyFill="1" applyBorder="1"/>
    <xf numFmtId="169" fontId="2" fillId="10" borderId="0" xfId="0" applyNumberFormat="1" applyFont="1" applyFill="1" applyBorder="1"/>
    <xf numFmtId="169" fontId="2" fillId="11" borderId="0" xfId="0" applyNumberFormat="1" applyFont="1" applyFill="1" applyBorder="1"/>
    <xf numFmtId="1" fontId="4" fillId="5" borderId="0" xfId="0" applyNumberFormat="1" applyFont="1" applyFill="1" applyAlignment="1">
      <alignment horizontal="center" vertical="center" wrapText="1"/>
    </xf>
    <xf numFmtId="164" fontId="4" fillId="5" borderId="0" xfId="1" applyNumberFormat="1" applyFont="1" applyFill="1" applyAlignment="1">
      <alignment horizontal="center" vertical="center" wrapText="1"/>
    </xf>
    <xf numFmtId="167" fontId="4" fillId="10" borderId="3" xfId="0" applyNumberFormat="1" applyFont="1" applyFill="1" applyBorder="1"/>
    <xf numFmtId="167" fontId="4" fillId="11" borderId="3" xfId="0" applyNumberFormat="1" applyFont="1" applyFill="1" applyBorder="1"/>
    <xf numFmtId="166" fontId="4" fillId="10" borderId="0" xfId="0" applyNumberFormat="1" applyFont="1" applyFill="1" applyBorder="1" applyAlignment="1">
      <alignment horizontal="center"/>
    </xf>
    <xf numFmtId="166" fontId="4" fillId="10" borderId="2" xfId="0" applyNumberFormat="1" applyFont="1" applyFill="1" applyBorder="1" applyAlignment="1">
      <alignment horizontal="center"/>
    </xf>
    <xf numFmtId="166" fontId="4" fillId="10" borderId="1" xfId="0" applyNumberFormat="1" applyFont="1" applyFill="1" applyBorder="1" applyAlignment="1">
      <alignment horizontal="center"/>
    </xf>
    <xf numFmtId="167" fontId="2" fillId="11" borderId="0" xfId="0" applyNumberFormat="1" applyFont="1" applyFill="1" applyBorder="1"/>
    <xf numFmtId="0" fontId="4" fillId="5" borderId="0" xfId="0" applyFont="1" applyFill="1" applyAlignment="1">
      <alignment horizontal="center" vertical="center" wrapText="1"/>
    </xf>
    <xf numFmtId="169" fontId="4" fillId="10" borderId="3" xfId="0" applyNumberFormat="1" applyFont="1" applyFill="1" applyBorder="1"/>
    <xf numFmtId="169" fontId="4" fillId="10" borderId="0" xfId="0" applyNumberFormat="1" applyFont="1" applyFill="1" applyBorder="1"/>
    <xf numFmtId="169" fontId="4" fillId="10" borderId="2" xfId="0" applyNumberFormat="1" applyFont="1" applyFill="1" applyBorder="1"/>
    <xf numFmtId="169" fontId="4" fillId="10" borderId="1" xfId="0" applyNumberFormat="1" applyFont="1" applyFill="1" applyBorder="1"/>
    <xf numFmtId="169" fontId="4" fillId="10" borderId="4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/>
    <xf numFmtId="0" fontId="7" fillId="12" borderId="0" xfId="0" applyFont="1" applyFill="1" applyAlignment="1">
      <alignment horizontal="center" vertical="center"/>
    </xf>
    <xf numFmtId="10" fontId="2" fillId="0" borderId="0" xfId="0" applyNumberFormat="1" applyFont="1" applyFill="1" applyBorder="1"/>
    <xf numFmtId="169" fontId="2" fillId="0" borderId="0" xfId="0" applyNumberFormat="1" applyFont="1" applyFill="1" applyBorder="1"/>
    <xf numFmtId="167" fontId="4" fillId="0" borderId="0" xfId="0" applyNumberFormat="1" applyFont="1"/>
    <xf numFmtId="0" fontId="9" fillId="0" borderId="0" xfId="0" applyFont="1" applyAlignment="1"/>
    <xf numFmtId="0" fontId="4" fillId="9" borderId="0" xfId="0" applyFont="1" applyFill="1"/>
    <xf numFmtId="0" fontId="7" fillId="9" borderId="0" xfId="0" applyFont="1" applyFill="1"/>
    <xf numFmtId="10" fontId="4" fillId="11" borderId="6" xfId="0" applyNumberFormat="1" applyFont="1" applyFill="1" applyBorder="1"/>
    <xf numFmtId="0" fontId="14" fillId="0" borderId="0" xfId="0" applyFont="1" applyFill="1" applyBorder="1" applyAlignment="1">
      <alignment horizontal="right"/>
    </xf>
    <xf numFmtId="167" fontId="15" fillId="0" borderId="0" xfId="0" applyNumberFormat="1" applyFont="1"/>
    <xf numFmtId="0" fontId="10" fillId="2" borderId="9" xfId="0" applyFont="1" applyFill="1" applyBorder="1" applyAlignment="1">
      <alignment horizontal="center" vertical="center"/>
    </xf>
    <xf numFmtId="0" fontId="10" fillId="4" borderId="10" xfId="0" applyFont="1" applyFill="1" applyBorder="1"/>
    <xf numFmtId="167" fontId="4" fillId="10" borderId="10" xfId="0" applyNumberFormat="1" applyFont="1" applyFill="1" applyBorder="1"/>
    <xf numFmtId="10" fontId="4" fillId="10" borderId="10" xfId="0" applyNumberFormat="1" applyFont="1" applyFill="1" applyBorder="1"/>
    <xf numFmtId="167" fontId="4" fillId="11" borderId="10" xfId="0" applyNumberFormat="1" applyFont="1" applyFill="1" applyBorder="1"/>
    <xf numFmtId="10" fontId="4" fillId="11" borderId="11" xfId="0" applyNumberFormat="1" applyFont="1" applyFill="1" applyBorder="1"/>
    <xf numFmtId="0" fontId="10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0" fontId="4" fillId="11" borderId="1" xfId="1" applyNumberFormat="1" applyFont="1" applyFill="1" applyBorder="1"/>
    <xf numFmtId="170" fontId="4" fillId="11" borderId="0" xfId="1" applyNumberFormat="1" applyFont="1" applyFill="1" applyBorder="1"/>
    <xf numFmtId="170" fontId="4" fillId="11" borderId="2" xfId="1" applyNumberFormat="1" applyFont="1" applyFill="1" applyBorder="1"/>
    <xf numFmtId="169" fontId="4" fillId="11" borderId="3" xfId="0" applyNumberFormat="1" applyFont="1" applyFill="1" applyBorder="1"/>
    <xf numFmtId="169" fontId="4" fillId="11" borderId="0" xfId="0" applyNumberFormat="1" applyFont="1" applyFill="1" applyBorder="1"/>
    <xf numFmtId="169" fontId="4" fillId="11" borderId="2" xfId="0" applyNumberFormat="1" applyFont="1" applyFill="1" applyBorder="1"/>
    <xf numFmtId="169" fontId="4" fillId="11" borderId="1" xfId="0" applyNumberFormat="1" applyFont="1" applyFill="1" applyBorder="1"/>
    <xf numFmtId="169" fontId="4" fillId="11" borderId="4" xfId="0" applyNumberFormat="1" applyFont="1" applyFill="1" applyBorder="1"/>
    <xf numFmtId="0" fontId="4" fillId="0" borderId="0" xfId="0" applyFont="1" applyAlignment="1">
      <alignment horizontal="right"/>
    </xf>
    <xf numFmtId="169" fontId="4" fillId="0" borderId="0" xfId="0" applyNumberFormat="1" applyFont="1"/>
    <xf numFmtId="1" fontId="4" fillId="0" borderId="0" xfId="2" applyNumberFormat="1" applyFont="1" applyAlignment="1">
      <alignment horizontal="right"/>
    </xf>
    <xf numFmtId="9" fontId="4" fillId="0" borderId="0" xfId="2" applyFont="1"/>
    <xf numFmtId="167" fontId="4" fillId="15" borderId="0" xfId="0" applyNumberFormat="1" applyFont="1" applyFill="1" applyBorder="1"/>
    <xf numFmtId="170" fontId="4" fillId="15" borderId="0" xfId="1" applyNumberFormat="1" applyFont="1" applyFill="1" applyBorder="1"/>
    <xf numFmtId="44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1" fontId="11" fillId="5" borderId="0" xfId="0" applyNumberFormat="1" applyFont="1" applyFill="1" applyAlignment="1">
      <alignment horizontal="center" vertical="center" wrapText="1"/>
    </xf>
    <xf numFmtId="167" fontId="4" fillId="15" borderId="2" xfId="0" applyNumberFormat="1" applyFont="1" applyFill="1" applyBorder="1"/>
    <xf numFmtId="0" fontId="6" fillId="0" borderId="0" xfId="3"/>
    <xf numFmtId="170" fontId="2" fillId="11" borderId="0" xfId="1" applyNumberFormat="1" applyFont="1" applyFill="1" applyBorder="1"/>
    <xf numFmtId="168" fontId="2" fillId="10" borderId="0" xfId="0" applyNumberFormat="1" applyFont="1" applyFill="1"/>
    <xf numFmtId="10" fontId="17" fillId="10" borderId="0" xfId="0" applyNumberFormat="1" applyFont="1" applyFill="1"/>
    <xf numFmtId="10" fontId="17" fillId="11" borderId="0" xfId="0" applyNumberFormat="1" applyFont="1" applyFill="1"/>
    <xf numFmtId="164" fontId="4" fillId="5" borderId="0" xfId="1" applyNumberFormat="1" applyFont="1" applyFill="1" applyBorder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167" fontId="4" fillId="0" borderId="0" xfId="1" applyNumberFormat="1" applyFont="1"/>
    <xf numFmtId="169" fontId="2" fillId="16" borderId="0" xfId="0" applyNumberFormat="1" applyFont="1" applyFill="1" applyBorder="1"/>
    <xf numFmtId="9" fontId="4" fillId="0" borderId="0" xfId="0" applyNumberFormat="1" applyFont="1" applyFill="1"/>
    <xf numFmtId="41" fontId="4" fillId="0" borderId="0" xfId="4" applyFont="1" applyFill="1" applyBorder="1"/>
    <xf numFmtId="1" fontId="4" fillId="11" borderId="0" xfId="2" applyNumberFormat="1" applyFont="1" applyFill="1" applyAlignment="1">
      <alignment horizontal="right"/>
    </xf>
    <xf numFmtId="171" fontId="2" fillId="17" borderId="0" xfId="1" applyNumberFormat="1" applyFont="1" applyFill="1" applyBorder="1"/>
    <xf numFmtId="0" fontId="4" fillId="10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10" fillId="4" borderId="0" xfId="0" applyFont="1" applyFill="1"/>
    <xf numFmtId="0" fontId="15" fillId="0" borderId="0" xfId="0" applyFont="1"/>
    <xf numFmtId="44" fontId="4" fillId="5" borderId="0" xfId="1" applyFont="1" applyFill="1" applyBorder="1" applyAlignment="1">
      <alignment horizontal="center" vertical="center" wrapText="1"/>
    </xf>
    <xf numFmtId="1" fontId="4" fillId="8" borderId="0" xfId="2" applyNumberFormat="1" applyFont="1" applyFill="1" applyAlignment="1">
      <alignment horizontal="center" vertical="center"/>
    </xf>
    <xf numFmtId="10" fontId="4" fillId="8" borderId="0" xfId="0" applyNumberFormat="1" applyFont="1" applyFill="1" applyAlignment="1">
      <alignment horizontal="center" vertical="center"/>
    </xf>
    <xf numFmtId="172" fontId="4" fillId="5" borderId="0" xfId="1" applyNumberFormat="1" applyFont="1" applyFill="1" applyAlignment="1">
      <alignment horizontal="center" vertical="center"/>
    </xf>
    <xf numFmtId="2" fontId="18" fillId="5" borderId="0" xfId="0" quotePrefix="1" applyNumberFormat="1" applyFont="1" applyFill="1" applyAlignment="1">
      <alignment horizontal="left" vertical="center" wrapText="1"/>
    </xf>
    <xf numFmtId="0" fontId="10" fillId="4" borderId="0" xfId="0" applyFont="1" applyFill="1" applyBorder="1"/>
    <xf numFmtId="167" fontId="2" fillId="10" borderId="0" xfId="0" applyNumberFormat="1" applyFont="1" applyFill="1" applyBorder="1"/>
    <xf numFmtId="0" fontId="7" fillId="9" borderId="0" xfId="0" applyFont="1" applyFill="1" applyAlignment="1">
      <alignment horizontal="center"/>
    </xf>
    <xf numFmtId="9" fontId="9" fillId="0" borderId="0" xfId="0" applyNumberFormat="1" applyFont="1" applyAlignment="1">
      <alignment horizontal="center"/>
    </xf>
    <xf numFmtId="167" fontId="4" fillId="10" borderId="0" xfId="0" applyNumberFormat="1" applyFont="1" applyFill="1"/>
    <xf numFmtId="166" fontId="4" fillId="10" borderId="0" xfId="0" applyNumberFormat="1" applyFont="1" applyFill="1" applyAlignment="1">
      <alignment horizontal="center"/>
    </xf>
    <xf numFmtId="167" fontId="4" fillId="11" borderId="0" xfId="0" applyNumberFormat="1" applyFont="1" applyFill="1"/>
    <xf numFmtId="10" fontId="4" fillId="11" borderId="12" xfId="0" applyNumberFormat="1" applyFont="1" applyFill="1" applyBorder="1"/>
    <xf numFmtId="0" fontId="7" fillId="12" borderId="14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170" fontId="4" fillId="18" borderId="14" xfId="0" applyNumberFormat="1" applyFont="1" applyFill="1" applyBorder="1" applyAlignment="1">
      <alignment horizontal="center" vertical="center"/>
    </xf>
    <xf numFmtId="171" fontId="4" fillId="18" borderId="14" xfId="0" applyNumberFormat="1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170" fontId="4" fillId="19" borderId="14" xfId="0" applyNumberFormat="1" applyFont="1" applyFill="1" applyBorder="1" applyAlignment="1">
      <alignment horizontal="center" vertical="center"/>
    </xf>
    <xf numFmtId="171" fontId="4" fillId="19" borderId="14" xfId="0" applyNumberFormat="1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170" fontId="4" fillId="20" borderId="14" xfId="0" applyNumberFormat="1" applyFont="1" applyFill="1" applyBorder="1" applyAlignment="1">
      <alignment horizontal="center" vertical="center"/>
    </xf>
    <xf numFmtId="171" fontId="4" fillId="20" borderId="14" xfId="0" applyNumberFormat="1" applyFont="1" applyFill="1" applyBorder="1" applyAlignment="1">
      <alignment horizontal="center" vertical="center"/>
    </xf>
    <xf numFmtId="0" fontId="9" fillId="0" borderId="15" xfId="0" applyFont="1" applyBorder="1"/>
    <xf numFmtId="0" fontId="9" fillId="0" borderId="3" xfId="0" applyFont="1" applyBorder="1"/>
    <xf numFmtId="0" fontId="9" fillId="0" borderId="16" xfId="0" applyFont="1" applyBorder="1"/>
    <xf numFmtId="0" fontId="14" fillId="0" borderId="17" xfId="0" applyFont="1" applyBorder="1"/>
    <xf numFmtId="0" fontId="9" fillId="0" borderId="4" xfId="0" applyFont="1" applyBorder="1"/>
    <xf numFmtId="0" fontId="9" fillId="0" borderId="18" xfId="0" applyFont="1" applyBorder="1"/>
    <xf numFmtId="0" fontId="14" fillId="0" borderId="0" xfId="0" applyFont="1"/>
    <xf numFmtId="2" fontId="9" fillId="0" borderId="0" xfId="0" applyNumberFormat="1" applyFont="1"/>
    <xf numFmtId="0" fontId="14" fillId="0" borderId="15" xfId="0" applyFont="1" applyBorder="1"/>
    <xf numFmtId="166" fontId="4" fillId="8" borderId="3" xfId="2" applyNumberFormat="1" applyFont="1" applyFill="1" applyBorder="1" applyAlignment="1">
      <alignment horizontal="center" vertical="center"/>
    </xf>
    <xf numFmtId="2" fontId="9" fillId="0" borderId="3" xfId="0" applyNumberFormat="1" applyFont="1" applyBorder="1"/>
    <xf numFmtId="0" fontId="14" fillId="0" borderId="19" xfId="0" applyFont="1" applyBorder="1"/>
    <xf numFmtId="166" fontId="4" fillId="8" borderId="0" xfId="2" applyNumberFormat="1" applyFont="1" applyFill="1" applyBorder="1" applyAlignment="1">
      <alignment horizontal="center" vertical="center"/>
    </xf>
    <xf numFmtId="0" fontId="9" fillId="0" borderId="20" xfId="0" applyFont="1" applyBorder="1"/>
    <xf numFmtId="166" fontId="4" fillId="8" borderId="4" xfId="2" applyNumberFormat="1" applyFont="1" applyFill="1" applyBorder="1" applyAlignment="1">
      <alignment horizontal="center" vertical="center"/>
    </xf>
    <xf numFmtId="2" fontId="9" fillId="0" borderId="4" xfId="0" applyNumberFormat="1" applyFont="1" applyBorder="1"/>
    <xf numFmtId="0" fontId="6" fillId="0" borderId="0" xfId="3" applyFill="1"/>
    <xf numFmtId="173" fontId="4" fillId="15" borderId="0" xfId="0" applyNumberFormat="1" applyFont="1" applyFill="1" applyAlignment="1">
      <alignment horizontal="center" vertical="center"/>
    </xf>
    <xf numFmtId="172" fontId="4" fillId="15" borderId="0" xfId="1" applyNumberFormat="1" applyFont="1" applyFill="1" applyAlignment="1">
      <alignment horizontal="center" vertical="center"/>
    </xf>
    <xf numFmtId="44" fontId="4" fillId="8" borderId="0" xfId="1" applyFont="1" applyFill="1" applyAlignment="1">
      <alignment horizontal="center" vertical="center"/>
    </xf>
    <xf numFmtId="173" fontId="4" fillId="15" borderId="0" xfId="1" applyNumberFormat="1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44" fontId="4" fillId="15" borderId="0" xfId="1" applyFont="1" applyFill="1" applyAlignment="1">
      <alignment horizontal="center" vertical="center"/>
    </xf>
    <xf numFmtId="2" fontId="4" fillId="15" borderId="0" xfId="0" applyNumberFormat="1" applyFont="1" applyFill="1" applyAlignment="1">
      <alignment horizontal="center" vertical="center"/>
    </xf>
    <xf numFmtId="9" fontId="4" fillId="15" borderId="0" xfId="1" applyNumberFormat="1" applyFont="1" applyFill="1" applyAlignment="1">
      <alignment horizontal="center" vertical="center"/>
    </xf>
    <xf numFmtId="1" fontId="4" fillId="15" borderId="0" xfId="1" applyNumberFormat="1" applyFont="1" applyFill="1" applyAlignment="1">
      <alignment horizontal="center" vertical="center"/>
    </xf>
    <xf numFmtId="1" fontId="4" fillId="8" borderId="0" xfId="0" applyNumberFormat="1" applyFont="1" applyFill="1" applyAlignment="1">
      <alignment horizontal="center" vertical="center"/>
    </xf>
    <xf numFmtId="41" fontId="4" fillId="6" borderId="0" xfId="4" applyFont="1" applyFill="1" applyAlignment="1">
      <alignment horizontal="center" vertical="center"/>
    </xf>
    <xf numFmtId="0" fontId="9" fillId="0" borderId="3" xfId="0" applyFont="1" applyBorder="1" applyAlignment="1">
      <alignment horizontal="center"/>
    </xf>
    <xf numFmtId="174" fontId="9" fillId="8" borderId="0" xfId="5" applyNumberFormat="1" applyFont="1" applyFill="1" applyBorder="1"/>
    <xf numFmtId="174" fontId="9" fillId="0" borderId="0" xfId="5" applyNumberFormat="1" applyFont="1" applyBorder="1"/>
    <xf numFmtId="0" fontId="9" fillId="0" borderId="0" xfId="0" applyFont="1" applyAlignment="1">
      <alignment horizontal="center"/>
    </xf>
    <xf numFmtId="174" fontId="4" fillId="8" borderId="0" xfId="5" applyNumberFormat="1" applyFont="1" applyFill="1" applyBorder="1" applyAlignment="1">
      <alignment horizontal="center" vertical="center"/>
    </xf>
    <xf numFmtId="9" fontId="9" fillId="8" borderId="0" xfId="0" applyNumberFormat="1" applyFont="1" applyFill="1"/>
    <xf numFmtId="174" fontId="9" fillId="6" borderId="0" xfId="5" applyNumberFormat="1" applyFont="1" applyFill="1" applyBorder="1"/>
    <xf numFmtId="174" fontId="4" fillId="6" borderId="0" xfId="5" applyNumberFormat="1" applyFont="1" applyFill="1" applyBorder="1" applyAlignment="1">
      <alignment horizontal="center" vertical="center"/>
    </xf>
    <xf numFmtId="174" fontId="4" fillId="6" borderId="4" xfId="5" applyNumberFormat="1" applyFont="1" applyFill="1" applyBorder="1" applyAlignment="1">
      <alignment horizontal="center" vertical="center"/>
    </xf>
    <xf numFmtId="174" fontId="9" fillId="6" borderId="4" xfId="5" applyNumberFormat="1" applyFont="1" applyFill="1" applyBorder="1"/>
    <xf numFmtId="0" fontId="21" fillId="12" borderId="0" xfId="0" applyFont="1" applyFill="1"/>
    <xf numFmtId="0" fontId="21" fillId="12" borderId="7" xfId="0" applyFont="1" applyFill="1" applyBorder="1"/>
    <xf numFmtId="0" fontId="19" fillId="12" borderId="0" xfId="0" applyFont="1" applyFill="1"/>
    <xf numFmtId="0" fontId="23" fillId="0" borderId="0" xfId="0" applyFont="1"/>
    <xf numFmtId="0" fontId="24" fillId="0" borderId="0" xfId="0" applyFont="1"/>
    <xf numFmtId="166" fontId="0" fillId="10" borderId="14" xfId="2" applyNumberFormat="1" applyFont="1" applyFill="1" applyBorder="1"/>
    <xf numFmtId="0" fontId="20" fillId="0" borderId="0" xfId="0" applyFont="1"/>
    <xf numFmtId="1" fontId="0" fillId="22" borderId="0" xfId="0" applyNumberFormat="1" applyFill="1"/>
    <xf numFmtId="3" fontId="0" fillId="0" borderId="0" xfId="0" applyNumberFormat="1"/>
    <xf numFmtId="1" fontId="19" fillId="3" borderId="0" xfId="0" applyNumberFormat="1" applyFont="1" applyFill="1"/>
    <xf numFmtId="0" fontId="19" fillId="3" borderId="0" xfId="0" applyFont="1" applyFill="1"/>
    <xf numFmtId="166" fontId="27" fillId="0" borderId="0" xfId="2" applyNumberFormat="1" applyFont="1"/>
    <xf numFmtId="42" fontId="0" fillId="23" borderId="5" xfId="5" applyFont="1" applyFill="1" applyBorder="1"/>
    <xf numFmtId="42" fontId="0" fillId="23" borderId="1" xfId="5" applyFont="1" applyFill="1" applyBorder="1"/>
    <xf numFmtId="42" fontId="0" fillId="23" borderId="6" xfId="5" applyFont="1" applyFill="1" applyBorder="1"/>
    <xf numFmtId="42" fontId="0" fillId="23" borderId="21" xfId="5" applyFont="1" applyFill="1" applyBorder="1"/>
    <xf numFmtId="42" fontId="0" fillId="23" borderId="8" xfId="5" applyFont="1" applyFill="1" applyBorder="1"/>
    <xf numFmtId="42" fontId="0" fillId="23" borderId="2" xfId="5" applyFont="1" applyFill="1" applyBorder="1"/>
    <xf numFmtId="42" fontId="0" fillId="23" borderId="13" xfId="5" applyFont="1" applyFill="1" applyBorder="1"/>
    <xf numFmtId="42" fontId="0" fillId="23" borderId="22" xfId="5" applyFont="1" applyFill="1" applyBorder="1"/>
    <xf numFmtId="42" fontId="0" fillId="23" borderId="7" xfId="5" applyFont="1" applyFill="1" applyBorder="1"/>
    <xf numFmtId="42" fontId="0" fillId="23" borderId="0" xfId="5" applyFont="1" applyFill="1" applyBorder="1"/>
    <xf numFmtId="42" fontId="0" fillId="23" borderId="12" xfId="5" applyFont="1" applyFill="1" applyBorder="1"/>
    <xf numFmtId="42" fontId="0" fillId="23" borderId="23" xfId="5" applyFont="1" applyFill="1" applyBorder="1"/>
    <xf numFmtId="6" fontId="0" fillId="23" borderId="8" xfId="5" applyNumberFormat="1" applyFont="1" applyFill="1" applyBorder="1"/>
    <xf numFmtId="6" fontId="0" fillId="23" borderId="2" xfId="5" applyNumberFormat="1" applyFont="1" applyFill="1" applyBorder="1"/>
    <xf numFmtId="42" fontId="0" fillId="23" borderId="14" xfId="5" applyFont="1" applyFill="1" applyBorder="1"/>
    <xf numFmtId="42" fontId="21" fillId="3" borderId="0" xfId="5" applyFont="1" applyFill="1" applyBorder="1"/>
    <xf numFmtId="42" fontId="21" fillId="3" borderId="0" xfId="5" applyFont="1" applyFill="1"/>
    <xf numFmtId="0" fontId="27" fillId="0" borderId="0" xfId="2" applyNumberFormat="1" applyFont="1"/>
    <xf numFmtId="1" fontId="28" fillId="0" borderId="0" xfId="0" applyNumberFormat="1" applyFont="1"/>
    <xf numFmtId="2" fontId="0" fillId="10" borderId="0" xfId="0" applyNumberFormat="1" applyFill="1"/>
    <xf numFmtId="166" fontId="29" fillId="0" borderId="0" xfId="2" applyNumberFormat="1" applyFont="1"/>
    <xf numFmtId="42" fontId="0" fillId="11" borderId="5" xfId="5" applyFont="1" applyFill="1" applyBorder="1"/>
    <xf numFmtId="42" fontId="0" fillId="11" borderId="1" xfId="5" applyFont="1" applyFill="1" applyBorder="1"/>
    <xf numFmtId="42" fontId="0" fillId="11" borderId="6" xfId="5" applyFont="1" applyFill="1" applyBorder="1"/>
    <xf numFmtId="42" fontId="0" fillId="11" borderId="21" xfId="5" applyFont="1" applyFill="1" applyBorder="1"/>
    <xf numFmtId="42" fontId="0" fillId="11" borderId="8" xfId="5" applyFont="1" applyFill="1" applyBorder="1"/>
    <xf numFmtId="42" fontId="0" fillId="11" borderId="2" xfId="5" applyFont="1" applyFill="1" applyBorder="1"/>
    <xf numFmtId="42" fontId="0" fillId="11" borderId="13" xfId="5" applyFont="1" applyFill="1" applyBorder="1"/>
    <xf numFmtId="42" fontId="0" fillId="11" borderId="22" xfId="5" applyFont="1" applyFill="1" applyBorder="1"/>
    <xf numFmtId="42" fontId="0" fillId="11" borderId="7" xfId="5" applyFont="1" applyFill="1" applyBorder="1"/>
    <xf numFmtId="42" fontId="0" fillId="11" borderId="0" xfId="5" applyFont="1" applyFill="1" applyBorder="1"/>
    <xf numFmtId="42" fontId="0" fillId="11" borderId="12" xfId="5" applyFont="1" applyFill="1" applyBorder="1"/>
    <xf numFmtId="42" fontId="0" fillId="11" borderId="23" xfId="5" applyFont="1" applyFill="1" applyBorder="1"/>
    <xf numFmtId="42" fontId="0" fillId="11" borderId="9" xfId="5" applyFont="1" applyFill="1" applyBorder="1"/>
    <xf numFmtId="42" fontId="0" fillId="11" borderId="10" xfId="5" applyFont="1" applyFill="1" applyBorder="1"/>
    <xf numFmtId="42" fontId="0" fillId="11" borderId="11" xfId="5" applyFont="1" applyFill="1" applyBorder="1"/>
    <xf numFmtId="42" fontId="0" fillId="11" borderId="14" xfId="5" applyFont="1" applyFill="1" applyBorder="1"/>
    <xf numFmtId="42" fontId="21" fillId="24" borderId="0" xfId="5" applyFont="1" applyFill="1" applyBorder="1"/>
    <xf numFmtId="42" fontId="21" fillId="24" borderId="0" xfId="5" applyFont="1" applyFill="1"/>
    <xf numFmtId="0" fontId="4" fillId="26" borderId="0" xfId="0" applyFont="1" applyFill="1" applyAlignment="1">
      <alignment horizontal="left" vertical="center" wrapText="1"/>
    </xf>
    <xf numFmtId="0" fontId="4" fillId="26" borderId="0" xfId="0" applyFont="1" applyFill="1" applyAlignment="1">
      <alignment horizontal="center" vertical="center" wrapText="1"/>
    </xf>
    <xf numFmtId="0" fontId="30" fillId="0" borderId="0" xfId="0" applyFont="1"/>
    <xf numFmtId="0" fontId="7" fillId="14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9" borderId="0" xfId="0" applyFont="1" applyFill="1" applyAlignment="1">
      <alignment horizontal="center" vertical="center"/>
    </xf>
    <xf numFmtId="0" fontId="7" fillId="13" borderId="0" xfId="0" applyFont="1" applyFill="1" applyAlignment="1">
      <alignment horizontal="center"/>
    </xf>
    <xf numFmtId="0" fontId="16" fillId="5" borderId="0" xfId="0" applyFont="1" applyFill="1" applyAlignment="1">
      <alignment horizontal="center" vertical="center" wrapText="1"/>
    </xf>
    <xf numFmtId="0" fontId="4" fillId="5" borderId="0" xfId="1" applyNumberFormat="1" applyFont="1" applyFill="1" applyBorder="1" applyAlignment="1">
      <alignment horizontal="center" vertical="center" wrapText="1"/>
    </xf>
    <xf numFmtId="1" fontId="4" fillId="5" borderId="0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9" fillId="25" borderId="0" xfId="0" applyFont="1" applyFill="1" applyAlignment="1">
      <alignment horizontal="center"/>
    </xf>
    <xf numFmtId="0" fontId="22" fillId="12" borderId="0" xfId="0" applyFont="1" applyFill="1" applyAlignment="1">
      <alignment horizontal="center"/>
    </xf>
    <xf numFmtId="0" fontId="25" fillId="0" borderId="14" xfId="0" applyFont="1" applyBorder="1" applyAlignment="1">
      <alignment horizontal="center"/>
    </xf>
    <xf numFmtId="0" fontId="19" fillId="21" borderId="0" xfId="0" applyFont="1" applyFill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" fillId="0" borderId="0" xfId="0" applyFont="1"/>
    <xf numFmtId="0" fontId="2" fillId="0" borderId="19" xfId="0" applyFont="1" applyBorder="1"/>
    <xf numFmtId="0" fontId="2" fillId="0" borderId="20" xfId="0" applyFont="1" applyBorder="1"/>
    <xf numFmtId="0" fontId="2" fillId="8" borderId="19" xfId="0" applyFont="1" applyFill="1" applyBorder="1"/>
    <xf numFmtId="0" fontId="2" fillId="27" borderId="19" xfId="0" applyFont="1" applyFill="1" applyBorder="1"/>
    <xf numFmtId="0" fontId="2" fillId="28" borderId="19" xfId="0" applyFont="1" applyFill="1" applyBorder="1"/>
    <xf numFmtId="0" fontId="2" fillId="0" borderId="17" xfId="0" applyFont="1" applyBorder="1"/>
    <xf numFmtId="0" fontId="2" fillId="0" borderId="4" xfId="0" applyFont="1" applyBorder="1"/>
    <xf numFmtId="0" fontId="2" fillId="0" borderId="18" xfId="0" applyFont="1" applyBorder="1"/>
  </cellXfs>
  <cellStyles count="6">
    <cellStyle name="Hipervínculo" xfId="3" builtinId="8"/>
    <cellStyle name="Millares [0]" xfId="4" builtinId="6"/>
    <cellStyle name="Moneda" xfId="1" builtinId="4"/>
    <cellStyle name="Moneda [0]" xfId="5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39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02160982054965"/>
          <c:y val="4.7619058778369604E-2"/>
          <c:w val="0.49444878595619851"/>
          <c:h val="0.898670767405035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CTP!$B$15</c:f>
              <c:strCache>
                <c:ptCount val="1"/>
                <c:pt idx="0">
                  <c:v>CAPEX con COMAP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(CTP!$C$15,CTP!$E$15)</c:f>
              <c:numCache>
                <c:formatCode>"$"#,##0</c:formatCode>
                <c:ptCount val="2"/>
                <c:pt idx="0">
                  <c:v>110000</c:v>
                </c:pt>
                <c:pt idx="1">
                  <c:v>82625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8-4AAD-9704-82523203AEB0}"/>
            </c:ext>
          </c:extLst>
        </c:ser>
        <c:ser>
          <c:idx val="1"/>
          <c:order val="1"/>
          <c:tx>
            <c:strRef>
              <c:f>CTP!$B$5</c:f>
              <c:strCache>
                <c:ptCount val="1"/>
                <c:pt idx="0">
                  <c:v>CAPEX cargador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(CTP!$C$5,CTP!$E$5)</c:f>
              <c:numCache>
                <c:formatCode>"$"#,##0</c:formatCod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8-4AAD-9704-82523203AEB0}"/>
            </c:ext>
          </c:extLst>
        </c:ser>
        <c:ser>
          <c:idx val="5"/>
          <c:order val="2"/>
          <c:tx>
            <c:strRef>
              <c:f>CTP!$B$6</c:f>
              <c:strCache>
                <c:ptCount val="1"/>
                <c:pt idx="0">
                  <c:v>Tasa consular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BF-404E-8786-59ABDA577404}"/>
              </c:ext>
            </c:extLst>
          </c:dPt>
          <c:cat>
            <c:strRef>
              <c:f>(CTP!$C$2,CTP!$E$2)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(CTP!$C$6,CTP!$E$6)</c:f>
              <c:numCache>
                <c:formatCode>"$"#,##0</c:formatCode>
                <c:ptCount val="2"/>
                <c:pt idx="0">
                  <c:v>5500</c:v>
                </c:pt>
                <c:pt idx="1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8-4AAD-9704-82523203AEB0}"/>
            </c:ext>
          </c:extLst>
        </c:ser>
        <c:ser>
          <c:idx val="2"/>
          <c:order val="3"/>
          <c:tx>
            <c:strRef>
              <c:f>CTP!$B$7</c:f>
              <c:strCache>
                <c:ptCount val="1"/>
                <c:pt idx="0">
                  <c:v>TGA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(CTP!$C$7,CTP!$E$7)</c:f>
              <c:numCache>
                <c:formatCode>"$"#,##0</c:formatCode>
                <c:ptCount val="2"/>
                <c:pt idx="0">
                  <c:v>25300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4-4614-A38F-252B2DEB76E7}"/>
            </c:ext>
          </c:extLst>
        </c:ser>
        <c:ser>
          <c:idx val="6"/>
          <c:order val="4"/>
          <c:tx>
            <c:strRef>
              <c:f>CTP!$B$8</c:f>
              <c:strCache>
                <c:ptCount val="1"/>
                <c:pt idx="0">
                  <c:v>IVA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(CTP!$C$8,CTP!$E$8)</c:f>
              <c:numCache>
                <c:formatCode>"$"#,##0</c:formatCode>
                <c:ptCount val="2"/>
                <c:pt idx="0">
                  <c:v>24200</c:v>
                </c:pt>
                <c:pt idx="1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58-4AAD-9704-82523203AEB0}"/>
            </c:ext>
          </c:extLst>
        </c:ser>
        <c:ser>
          <c:idx val="3"/>
          <c:order val="5"/>
          <c:tx>
            <c:strRef>
              <c:f>CTP!$B$10</c:f>
              <c:strCache>
                <c:ptCount val="1"/>
                <c:pt idx="0">
                  <c:v>Patente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(CTP!$C$10,CTP!$E$10)</c:f>
              <c:numCache>
                <c:formatCode>"$"#,##0</c:formatCode>
                <c:ptCount val="2"/>
                <c:pt idx="0">
                  <c:v>19800</c:v>
                </c:pt>
                <c:pt idx="1">
                  <c:v>27000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D4-4614-A38F-252B2DEB76E7}"/>
            </c:ext>
          </c:extLst>
        </c:ser>
        <c:ser>
          <c:idx val="7"/>
          <c:order val="6"/>
          <c:tx>
            <c:strRef>
              <c:f>CTP!$B$11</c:f>
              <c:strCache>
                <c:ptCount val="1"/>
                <c:pt idx="0">
                  <c:v>Costos de financiamiento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(CTP!$C$11,CTP!$E$11)</c:f>
              <c:numCache>
                <c:formatCode>"$"#,##0</c:formatCode>
                <c:ptCount val="2"/>
                <c:pt idx="0">
                  <c:v>36843.045158965469</c:v>
                </c:pt>
                <c:pt idx="1">
                  <c:v>42536.9703198965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8-4AAD-9704-82523203AEB0}"/>
            </c:ext>
          </c:extLst>
        </c:ser>
        <c:ser>
          <c:idx val="8"/>
          <c:order val="7"/>
          <c:tx>
            <c:strRef>
              <c:f>CTP!$B$12</c:f>
              <c:strCache>
                <c:ptCount val="1"/>
                <c:pt idx="0">
                  <c:v>Costos de mantenimiento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(CTP!$C$12,CTP!$E$12)</c:f>
              <c:numCache>
                <c:formatCode>"$"#,##0</c:formatCode>
                <c:ptCount val="2"/>
                <c:pt idx="0">
                  <c:v>19200</c:v>
                </c:pt>
                <c:pt idx="1">
                  <c:v>21120.000000000004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8-4AAD-9704-82523203AEB0}"/>
            </c:ext>
          </c:extLst>
        </c:ser>
        <c:ser>
          <c:idx val="10"/>
          <c:order val="8"/>
          <c:tx>
            <c:strRef>
              <c:f>CTP!$B$13</c:f>
              <c:strCache>
                <c:ptCount val="1"/>
                <c:pt idx="0">
                  <c:v>Costo Energía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(CTP!$C$13,CTP!$E$13)</c:f>
              <c:numCache>
                <c:formatCode>"$"#,##0</c:formatCode>
                <c:ptCount val="2"/>
                <c:pt idx="0">
                  <c:v>89407.440000000031</c:v>
                </c:pt>
                <c:pt idx="1">
                  <c:v>10437.878400000001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58-4AAD-9704-82523203AEB0}"/>
            </c:ext>
          </c:extLst>
        </c:ser>
        <c:ser>
          <c:idx val="11"/>
          <c:order val="9"/>
          <c:tx>
            <c:strRef>
              <c:f>CTP!$B$18</c:f>
              <c:strCache>
                <c:ptCount val="1"/>
                <c:pt idx="0">
                  <c:v>Costos económicos de las emisiones</c:v>
                </c:pt>
              </c:strCache>
            </c:strRef>
          </c:tx>
          <c:spPr>
            <a:pattFill prst="dk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(CTP!$C$18,CTP!$E$18)</c:f>
              <c:numCache>
                <c:formatCode>"$"#,##0</c:formatCode>
                <c:ptCount val="2"/>
                <c:pt idx="0">
                  <c:v>2092.8000000000002</c:v>
                </c:pt>
                <c:pt idx="1">
                  <c:v>116.58240000000001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58-4AAD-9704-82523203AEB0}"/>
            </c:ext>
          </c:extLst>
        </c:ser>
        <c:ser>
          <c:idx val="4"/>
          <c:order val="10"/>
          <c:tx>
            <c:v>Sin COMAP</c:v>
          </c:tx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</c:spPr>
          <c:invertIfNegative val="0"/>
          <c:val>
            <c:numRef>
              <c:f>(CTP!$C$14,CTP!$E$14)</c:f>
              <c:numCache>
                <c:formatCode>"$"#,##0</c:formatCode>
                <c:ptCount val="2"/>
                <c:pt idx="1">
                  <c:v>67375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2-44B3-A01C-63C3B5C57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748383"/>
        <c:axId val="165752127"/>
      </c:barChart>
      <c:catAx>
        <c:axId val="1657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52127"/>
        <c:crosses val="autoZero"/>
        <c:auto val="1"/>
        <c:lblAlgn val="ctr"/>
        <c:lblOffset val="100"/>
        <c:noMultiLvlLbl val="0"/>
      </c:catAx>
      <c:valAx>
        <c:axId val="165752127"/>
        <c:scaling>
          <c:orientation val="minMax"/>
          <c:max val="3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CTP (USD)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CTP!$B$37</c:f>
              <c:strCache>
                <c:ptCount val="1"/>
                <c:pt idx="0">
                  <c:v>CAPEX Camión con COMAP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CTP!$C$37:$D$37</c:f>
              <c:numCache>
                <c:formatCode>"$"#,##0.000</c:formatCode>
                <c:ptCount val="2"/>
                <c:pt idx="0">
                  <c:v>0.45833333333333331</c:v>
                </c:pt>
                <c:pt idx="1">
                  <c:v>0.34427083333333336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8-4AAD-9704-82523203AEB0}"/>
            </c:ext>
          </c:extLst>
        </c:ser>
        <c:ser>
          <c:idx val="1"/>
          <c:order val="1"/>
          <c:tx>
            <c:strRef>
              <c:f>CTP!$B$39</c:f>
              <c:strCache>
                <c:ptCount val="1"/>
                <c:pt idx="0">
                  <c:v>CAPEX cargador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CTP!$C$39:$D$39</c:f>
              <c:numCache>
                <c:formatCode>"$"#,##0.000</c:formatCode>
                <c:ptCount val="2"/>
                <c:pt idx="0">
                  <c:v>0</c:v>
                </c:pt>
                <c:pt idx="1">
                  <c:v>8.3333333333333332E-3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8-4AAD-9704-82523203AEB0}"/>
            </c:ext>
          </c:extLst>
        </c:ser>
        <c:ser>
          <c:idx val="5"/>
          <c:order val="2"/>
          <c:tx>
            <c:strRef>
              <c:f>CTP!$B$40</c:f>
              <c:strCache>
                <c:ptCount val="1"/>
                <c:pt idx="0">
                  <c:v>Tasa consular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CTP!$C$40:$D$40</c:f>
              <c:numCache>
                <c:formatCode>"$"#,##0.000</c:formatCode>
                <c:ptCount val="2"/>
                <c:pt idx="0">
                  <c:v>2.2916666666666665E-2</c:v>
                </c:pt>
                <c:pt idx="1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8-4AAD-9704-82523203AEB0}"/>
            </c:ext>
          </c:extLst>
        </c:ser>
        <c:ser>
          <c:idx val="6"/>
          <c:order val="3"/>
          <c:tx>
            <c:strRef>
              <c:f>CTP!$B$41</c:f>
              <c:strCache>
                <c:ptCount val="1"/>
                <c:pt idx="0">
                  <c:v>TGA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CTP!$C$41:$D$41</c:f>
              <c:numCache>
                <c:formatCode>"$"#,##0.000</c:formatCode>
                <c:ptCount val="2"/>
                <c:pt idx="0">
                  <c:v>0.10541666666666667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58-4AAD-9704-82523203AEB0}"/>
            </c:ext>
          </c:extLst>
        </c:ser>
        <c:ser>
          <c:idx val="2"/>
          <c:order val="4"/>
          <c:tx>
            <c:strRef>
              <c:f>CTP!$B$42</c:f>
              <c:strCache>
                <c:ptCount val="1"/>
                <c:pt idx="0">
                  <c:v>IVA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(CTP!$C$42,CTP!$D$42)</c:f>
              <c:numCache>
                <c:formatCode>"$"#,##0.000</c:formatCode>
                <c:ptCount val="2"/>
                <c:pt idx="0">
                  <c:v>0.10083333333333333</c:v>
                </c:pt>
                <c:pt idx="1">
                  <c:v>0.13750000000000001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5-450A-BC27-CCAF2736D036}"/>
            </c:ext>
          </c:extLst>
        </c:ser>
        <c:ser>
          <c:idx val="3"/>
          <c:order val="5"/>
          <c:tx>
            <c:strRef>
              <c:f>CTP!$B$44</c:f>
              <c:strCache>
                <c:ptCount val="1"/>
                <c:pt idx="0">
                  <c:v>Patente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(CTP!$C$44,CTP!$D$44)</c:f>
              <c:numCache>
                <c:formatCode>"$"#,##0.000</c:formatCode>
                <c:ptCount val="2"/>
                <c:pt idx="0">
                  <c:v>8.2500000000000004E-2</c:v>
                </c:pt>
                <c:pt idx="1">
                  <c:v>0.1125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05-450A-BC27-CCAF2736D036}"/>
            </c:ext>
          </c:extLst>
        </c:ser>
        <c:ser>
          <c:idx val="7"/>
          <c:order val="6"/>
          <c:tx>
            <c:strRef>
              <c:f>CTP!$B$45</c:f>
              <c:strCache>
                <c:ptCount val="1"/>
                <c:pt idx="0">
                  <c:v>Costos de financiamiento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CTP!$C$45:$D$45</c:f>
              <c:numCache>
                <c:formatCode>"$"#,##0.000</c:formatCode>
                <c:ptCount val="2"/>
                <c:pt idx="0">
                  <c:v>0.15351268816235611</c:v>
                </c:pt>
                <c:pt idx="1">
                  <c:v>0.17723737633290207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8-4AAD-9704-82523203AEB0}"/>
            </c:ext>
          </c:extLst>
        </c:ser>
        <c:ser>
          <c:idx val="8"/>
          <c:order val="7"/>
          <c:tx>
            <c:strRef>
              <c:f>CTP!$B$46</c:f>
              <c:strCache>
                <c:ptCount val="1"/>
                <c:pt idx="0">
                  <c:v>Costos de mantenimiento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CTP!$C$46:$D$46</c:f>
              <c:numCache>
                <c:formatCode>"$"#,##0.000</c:formatCode>
                <c:ptCount val="2"/>
                <c:pt idx="0">
                  <c:v>0.08</c:v>
                </c:pt>
                <c:pt idx="1">
                  <c:v>8.8000000000000009E-2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8-4AAD-9704-82523203AEB0}"/>
            </c:ext>
          </c:extLst>
        </c:ser>
        <c:ser>
          <c:idx val="10"/>
          <c:order val="8"/>
          <c:tx>
            <c:strRef>
              <c:f>CTP!$B$47</c:f>
              <c:strCache>
                <c:ptCount val="1"/>
                <c:pt idx="0">
                  <c:v>Costo Energía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CTP!$C$47:$D$47</c:f>
              <c:numCache>
                <c:formatCode>"$"#,##0.000</c:formatCode>
                <c:ptCount val="2"/>
                <c:pt idx="0">
                  <c:v>0.37253100000000011</c:v>
                </c:pt>
                <c:pt idx="1">
                  <c:v>4.3491160000000008E-2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58-4AAD-9704-82523203AEB0}"/>
            </c:ext>
          </c:extLst>
        </c:ser>
        <c:ser>
          <c:idx val="11"/>
          <c:order val="9"/>
          <c:tx>
            <c:strRef>
              <c:f>CTP!$B$48</c:f>
              <c:strCache>
                <c:ptCount val="1"/>
                <c:pt idx="0">
                  <c:v>Costos económicos de las emisiones</c:v>
                </c:pt>
              </c:strCache>
            </c:strRef>
          </c:tx>
          <c:spPr>
            <a:pattFill prst="dk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CTP!$C$48:$D$48</c:f>
              <c:numCache>
                <c:formatCode>"$"#,##0.000</c:formatCode>
                <c:ptCount val="2"/>
                <c:pt idx="0">
                  <c:v>8.7200000000000003E-3</c:v>
                </c:pt>
                <c:pt idx="1">
                  <c:v>4.8576000000000001E-4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58-4AAD-9704-82523203A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748383"/>
        <c:axId val="165752127"/>
      </c:barChart>
      <c:catAx>
        <c:axId val="1657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52127"/>
        <c:crosses val="autoZero"/>
        <c:auto val="1"/>
        <c:lblAlgn val="ctr"/>
        <c:lblOffset val="100"/>
        <c:noMultiLvlLbl val="0"/>
      </c:catAx>
      <c:valAx>
        <c:axId val="16575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/>
                  <a:t>CTP (USD/km)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2177931338934"/>
          <c:y val="0.16243674297093375"/>
          <c:w val="0.75662429165546652"/>
          <c:h val="0.64880135922684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CTP!$C$135</c:f>
              <c:strCache>
                <c:ptCount val="1"/>
                <c:pt idx="0">
                  <c:v>Combustión</c:v>
                </c:pt>
              </c:strCache>
            </c:strRef>
          </c:tx>
          <c:spPr>
            <a:ln w="63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CTP!$B$136:$B$138</c:f>
              <c:numCache>
                <c:formatCode>0</c:formatCode>
                <c:ptCount val="3"/>
                <c:pt idx="0">
                  <c:v>15000</c:v>
                </c:pt>
                <c:pt idx="1">
                  <c:v>30000</c:v>
                </c:pt>
                <c:pt idx="2">
                  <c:v>60000</c:v>
                </c:pt>
              </c:numCache>
            </c:numRef>
          </c:xVal>
          <c:yVal>
            <c:numRef>
              <c:f>CTP!$C$136:$C$138</c:f>
              <c:numCache>
                <c:formatCode>"$"#,##0.000</c:formatCode>
                <c:ptCount val="3"/>
                <c:pt idx="0">
                  <c:v>2.3082763763247121</c:v>
                </c:pt>
                <c:pt idx="1">
                  <c:v>1.3847636881623564</c:v>
                </c:pt>
                <c:pt idx="2">
                  <c:v>0.92300734408117802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75-4685-A980-F39845027EA2}"/>
            </c:ext>
          </c:extLst>
        </c:ser>
        <c:ser>
          <c:idx val="1"/>
          <c:order val="2"/>
          <c:tx>
            <c:strRef>
              <c:f>CTP!$D$135</c:f>
              <c:strCache>
                <c:ptCount val="1"/>
                <c:pt idx="0">
                  <c:v>Eléctrico</c:v>
                </c:pt>
              </c:strCache>
            </c:strRef>
          </c:tx>
          <c:spPr>
            <a:ln w="6350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xVal>
            <c:numRef>
              <c:f>CTP!$B$136:$B$138</c:f>
              <c:numCache>
                <c:formatCode>0</c:formatCode>
                <c:ptCount val="3"/>
                <c:pt idx="0">
                  <c:v>15000</c:v>
                </c:pt>
                <c:pt idx="1">
                  <c:v>30000</c:v>
                </c:pt>
                <c:pt idx="2">
                  <c:v>60000</c:v>
                </c:pt>
              </c:numCache>
            </c:numRef>
          </c:xVal>
          <c:yVal>
            <c:numRef>
              <c:f>CTP!$D$136:$D$138</c:f>
              <c:numCache>
                <c:formatCode>"$"#,##0.000</c:formatCode>
                <c:ptCount val="3"/>
                <c:pt idx="0">
                  <c:v>1.7577682459991377</c:v>
                </c:pt>
                <c:pt idx="1">
                  <c:v>0.94306846299956881</c:v>
                </c:pt>
                <c:pt idx="2">
                  <c:v>0.53571857149978441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75-4685-A980-F39845027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246095"/>
        <c:axId val="217253583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CTP!$C$139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350" cap="rnd">
                    <a:solidFill>
                      <a:srgbClr val="00B050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 w="9525">
                      <a:noFill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CTP!$B$136:$B$138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15000</c:v>
                      </c:pt>
                      <c:pt idx="1">
                        <c:v>30000</c:v>
                      </c:pt>
                      <c:pt idx="2">
                        <c:v>60000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CTP!$C$140:$C$142</c15:sqref>
                        </c15:formulaRef>
                      </c:ext>
                    </c:extLst>
                    <c:numCache>
                      <c:formatCode>"$"#,##0.000</c:formatCode>
                      <c:ptCount val="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1D67-4205-89D4-B62772DDD6FA}"/>
                  </c:ext>
                </c:extLst>
              </c15:ser>
            </c15:filteredScatterSeries>
            <c15:filteredScatter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CTP!$D$139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350" cap="rnd">
                    <a:solidFill>
                      <a:srgbClr val="92D050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92D050"/>
                    </a:solidFill>
                    <a:ln w="9525">
                      <a:noFill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CTP!$B$136:$B$138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15000</c:v>
                      </c:pt>
                      <c:pt idx="1">
                        <c:v>30000</c:v>
                      </c:pt>
                      <c:pt idx="2">
                        <c:v>60000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CTP!$D$140:$D$142</c15:sqref>
                        </c15:formulaRef>
                      </c:ext>
                    </c:extLst>
                    <c:numCache>
                      <c:formatCode>"$"#,##0.000</c:formatCode>
                      <c:ptCount val="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D67-4205-89D4-B62772DDD6FA}"/>
                  </c:ext>
                </c:extLst>
              </c15:ser>
            </c15:filteredScatterSeries>
          </c:ext>
        </c:extLst>
      </c:scatterChart>
      <c:valAx>
        <c:axId val="217246095"/>
        <c:scaling>
          <c:orientation val="minMax"/>
          <c:max val="60000"/>
          <c:min val="15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Kilometraje</a:t>
                </a:r>
                <a:r>
                  <a:rPr lang="es-CO" b="1" baseline="0"/>
                  <a:t> anual (km)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217253583"/>
        <c:crosses val="autoZero"/>
        <c:crossBetween val="midCat"/>
      </c:valAx>
      <c:valAx>
        <c:axId val="21725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CTP</a:t>
                </a:r>
                <a:r>
                  <a:rPr lang="es-CO" b="1" baseline="0"/>
                  <a:t> (USD/km)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.0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2172460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9374372072851534E-2"/>
          <c:y val="4.6403712296983757E-2"/>
          <c:w val="0.9"/>
          <c:h val="7.7196455229341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48</xdr:row>
      <xdr:rowOff>66674</xdr:rowOff>
    </xdr:from>
    <xdr:to>
      <xdr:col>5</xdr:col>
      <xdr:colOff>266700</xdr:colOff>
      <xdr:row>71</xdr:row>
      <xdr:rowOff>3173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5514915B-D81B-4B42-9FD1-EF681676D8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460375</xdr:colOff>
      <xdr:row>71</xdr:row>
      <xdr:rowOff>114300</xdr:rowOff>
    </xdr:from>
    <xdr:to>
      <xdr:col>4</xdr:col>
      <xdr:colOff>1057275</xdr:colOff>
      <xdr:row>89</xdr:row>
      <xdr:rowOff>133985</xdr:rowOff>
    </xdr:to>
    <xdr:graphicFrame macro="">
      <xdr:nvGraphicFramePr>
        <xdr:cNvPr id="10" name="Gráfico 2">
          <a:extLst>
            <a:ext uri="{FF2B5EF4-FFF2-40B4-BE49-F238E27FC236}">
              <a16:creationId xmlns:a16="http://schemas.microsoft.com/office/drawing/2014/main" id="{79A343A0-366A-4AF0-9D09-DF9D247C6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285750</xdr:colOff>
      <xdr:row>134</xdr:row>
      <xdr:rowOff>12065</xdr:rowOff>
    </xdr:from>
    <xdr:to>
      <xdr:col>10</xdr:col>
      <xdr:colOff>640715</xdr:colOff>
      <xdr:row>151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3714F9EB-AFD9-4A7C-B173-AE1B9846BB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0.15847</cdr:x>
      <cdr:y>0</cdr:y>
    </cdr:from>
    <cdr:to>
      <cdr:x>0.37315</cdr:x>
      <cdr:y>0.12623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B7BA026-443A-4CC6-A0BA-A392067C3F97}"/>
            </a:ext>
          </a:extLst>
        </cdr:cNvPr>
        <cdr:cNvSpPr txBox="1"/>
      </cdr:nvSpPr>
      <cdr:spPr>
        <a:xfrm xmlns:a="http://schemas.openxmlformats.org/drawingml/2006/main">
          <a:off x="1067793" y="0"/>
          <a:ext cx="1446511" cy="4897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332,343 USD</a:t>
          </a:r>
        </a:p>
        <a:p xmlns:a="http://schemas.openxmlformats.org/drawingml/2006/main">
          <a:pPr algn="ctr"/>
          <a:r>
            <a:rPr lang="es-CO" sz="1100" b="1">
              <a:solidFill>
                <a:srgbClr val="00B0F0"/>
              </a:solidFill>
              <a:latin typeface="Century Gothic" panose="020B0502020202020204" pitchFamily="34" charset="0"/>
            </a:rPr>
            <a:t>1.4 USD/km</a:t>
          </a:r>
        </a:p>
      </cdr:txBody>
    </cdr:sp>
  </cdr:relSizeAnchor>
  <cdr:relSizeAnchor xmlns:cdr="http://schemas.openxmlformats.org/drawingml/2006/chartDrawing">
    <cdr:from>
      <cdr:x>0.40537</cdr:x>
      <cdr:y>0.08744</cdr:y>
    </cdr:from>
    <cdr:to>
      <cdr:x>0.62005</cdr:x>
      <cdr:y>0.21709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B0F23550-5E30-400B-9A1C-F4FAEB04FEB2}"/>
            </a:ext>
          </a:extLst>
        </cdr:cNvPr>
        <cdr:cNvSpPr txBox="1"/>
      </cdr:nvSpPr>
      <cdr:spPr>
        <a:xfrm xmlns:a="http://schemas.openxmlformats.org/drawingml/2006/main">
          <a:off x="2731358" y="339256"/>
          <a:ext cx="1446511" cy="503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226,336</a:t>
          </a:r>
          <a:r>
            <a:rPr lang="es-CO" sz="1100" b="1" baseline="0">
              <a:solidFill>
                <a:srgbClr val="002060"/>
              </a:solidFill>
              <a:latin typeface="Century Gothic" panose="020B0502020202020204" pitchFamily="34" charset="0"/>
            </a:rPr>
            <a:t> </a:t>
          </a:r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USD</a:t>
          </a:r>
        </a:p>
        <a:p xmlns:a="http://schemas.openxmlformats.org/drawingml/2006/main">
          <a:pPr algn="ctr"/>
          <a:r>
            <a:rPr lang="es-CO" sz="1100" b="1">
              <a:solidFill>
                <a:srgbClr val="00B0F0"/>
              </a:solidFill>
              <a:latin typeface="Century Gothic" panose="020B0502020202020204" pitchFamily="34" charset="0"/>
            </a:rPr>
            <a:t>0.9 USD/km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0.1641</cdr:x>
      <cdr:y>0.05844</cdr:y>
    </cdr:from>
    <cdr:to>
      <cdr:x>0.36831</cdr:x>
      <cdr:y>0.14385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8E812C97-54E6-4E06-A621-B1DAC0E56774}"/>
            </a:ext>
          </a:extLst>
        </cdr:cNvPr>
        <cdr:cNvSpPr txBox="1"/>
      </cdr:nvSpPr>
      <cdr:spPr>
        <a:xfrm xmlns:a="http://schemas.openxmlformats.org/drawingml/2006/main">
          <a:off x="1032634" y="181491"/>
          <a:ext cx="1285063" cy="265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1.385 USD/km</a:t>
          </a:r>
        </a:p>
      </cdr:txBody>
    </cdr:sp>
  </cdr:relSizeAnchor>
  <cdr:relSizeAnchor xmlns:cdr="http://schemas.openxmlformats.org/drawingml/2006/chartDrawing">
    <cdr:from>
      <cdr:x>0.44363</cdr:x>
      <cdr:y>0.29117</cdr:y>
    </cdr:from>
    <cdr:to>
      <cdr:x>0.63826</cdr:x>
      <cdr:y>0.37658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566FEDC5-DF1A-4DC3-8F19-BC5199BFC5F5}"/>
            </a:ext>
          </a:extLst>
        </cdr:cNvPr>
        <cdr:cNvSpPr txBox="1"/>
      </cdr:nvSpPr>
      <cdr:spPr>
        <a:xfrm xmlns:a="http://schemas.openxmlformats.org/drawingml/2006/main">
          <a:off x="2791720" y="904317"/>
          <a:ext cx="1224777" cy="265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0.943 USD/km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39</xdr:row>
      <xdr:rowOff>0</xdr:rowOff>
    </xdr:from>
    <xdr:to>
      <xdr:col>10</xdr:col>
      <xdr:colOff>542925</xdr:colOff>
      <xdr:row>40</xdr:row>
      <xdr:rowOff>127050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4A495D-B2CC-4EE0-ADB0-3EF48076A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7477125"/>
          <a:ext cx="0" cy="317550"/>
        </a:xfrm>
        <a:prstGeom prst="rect">
          <a:avLst/>
        </a:prstGeom>
      </xdr:spPr>
    </xdr:pic>
    <xdr:clientData/>
  </xdr:twoCellAnchor>
  <xdr:oneCellAnchor>
    <xdr:from>
      <xdr:col>10</xdr:col>
      <xdr:colOff>542925</xdr:colOff>
      <xdr:row>4</xdr:row>
      <xdr:rowOff>0</xdr:rowOff>
    </xdr:from>
    <xdr:ext cx="0" cy="346125"/>
    <xdr:pic>
      <xdr:nvPicPr>
        <xdr:cNvPr id="3" name="Imagen 2">
          <a:extLst>
            <a:ext uri="{FF2B5EF4-FFF2-40B4-BE49-F238E27FC236}">
              <a16:creationId xmlns:a16="http://schemas.microsoft.com/office/drawing/2014/main" id="{6BECB324-B27F-4316-9FF7-7808CD271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857250"/>
          <a:ext cx="0" cy="346125"/>
        </a:xfrm>
        <a:prstGeom prst="rect">
          <a:avLst/>
        </a:prstGeom>
      </xdr:spPr>
    </xdr:pic>
    <xdr:clientData/>
  </xdr:oneCellAnchor>
  <xdr:oneCellAnchor>
    <xdr:from>
      <xdr:col>10</xdr:col>
      <xdr:colOff>542925</xdr:colOff>
      <xdr:row>39</xdr:row>
      <xdr:rowOff>0</xdr:rowOff>
    </xdr:from>
    <xdr:ext cx="0" cy="346125"/>
    <xdr:pic>
      <xdr:nvPicPr>
        <xdr:cNvPr id="4" name="Imagen 3">
          <a:extLst>
            <a:ext uri="{FF2B5EF4-FFF2-40B4-BE49-F238E27FC236}">
              <a16:creationId xmlns:a16="http://schemas.microsoft.com/office/drawing/2014/main" id="{9983968F-F003-4FAD-A1C6-5A24FB434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7477125"/>
          <a:ext cx="0" cy="346125"/>
        </a:xfrm>
        <a:prstGeom prst="rect">
          <a:avLst/>
        </a:prstGeom>
      </xdr:spPr>
    </xdr:pic>
    <xdr:clientData/>
  </xdr:oneCellAnchor>
  <xdr:oneCellAnchor>
    <xdr:from>
      <xdr:col>10</xdr:col>
      <xdr:colOff>542925</xdr:colOff>
      <xdr:row>39</xdr:row>
      <xdr:rowOff>0</xdr:rowOff>
    </xdr:from>
    <xdr:ext cx="0" cy="346125"/>
    <xdr:pic>
      <xdr:nvPicPr>
        <xdr:cNvPr id="5" name="Imagen 4">
          <a:extLst>
            <a:ext uri="{FF2B5EF4-FFF2-40B4-BE49-F238E27FC236}">
              <a16:creationId xmlns:a16="http://schemas.microsoft.com/office/drawing/2014/main" id="{F0B55FCF-53E7-4D91-9D8A-648F4F607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7477125"/>
          <a:ext cx="0" cy="346125"/>
        </a:xfrm>
        <a:prstGeom prst="rect">
          <a:avLst/>
        </a:prstGeom>
      </xdr:spPr>
    </xdr:pic>
    <xdr:clientData/>
  </xdr:oneCellAnchor>
  <xdr:oneCellAnchor>
    <xdr:from>
      <xdr:col>10</xdr:col>
      <xdr:colOff>542925</xdr:colOff>
      <xdr:row>39</xdr:row>
      <xdr:rowOff>0</xdr:rowOff>
    </xdr:from>
    <xdr:ext cx="0" cy="346125"/>
    <xdr:pic>
      <xdr:nvPicPr>
        <xdr:cNvPr id="6" name="Imagen 5">
          <a:extLst>
            <a:ext uri="{FF2B5EF4-FFF2-40B4-BE49-F238E27FC236}">
              <a16:creationId xmlns:a16="http://schemas.microsoft.com/office/drawing/2014/main" id="{EA5E2E76-1287-4CA7-A844-E936295F5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857250"/>
          <a:ext cx="0" cy="3461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9</xdr:col>
      <xdr:colOff>20654</xdr:colOff>
      <xdr:row>16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FA4234-A0B9-4D65-8DF7-F983951CE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190500"/>
          <a:ext cx="6107129" cy="3009900"/>
        </a:xfrm>
        <a:prstGeom prst="rect">
          <a:avLst/>
        </a:prstGeom>
      </xdr:spPr>
    </xdr:pic>
    <xdr:clientData/>
  </xdr:twoCellAnchor>
  <xdr:twoCellAnchor editAs="oneCell">
    <xdr:from>
      <xdr:col>9</xdr:col>
      <xdr:colOff>257175</xdr:colOff>
      <xdr:row>0</xdr:row>
      <xdr:rowOff>161926</xdr:rowOff>
    </xdr:from>
    <xdr:to>
      <xdr:col>17</xdr:col>
      <xdr:colOff>77567</xdr:colOff>
      <xdr:row>21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CE87B7-DCDA-419E-AD63-C79C5BD12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5175" y="161926"/>
          <a:ext cx="5916392" cy="38861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CTP%20Minibus_UY_vf.xlsx?AF8CED50" TargetMode="External"/><Relationship Id="rId1" Type="http://schemas.openxmlformats.org/officeDocument/2006/relationships/externalLinkPath" Target="file:///\\AF8CED50\CTP%20Minibus_UY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Parametros"/>
      <sheetName val="CTP"/>
      <sheetName val="CTP Valor Presente"/>
      <sheetName val="Fuentes"/>
    </sheetNames>
    <sheetDataSet>
      <sheetData sheetId="0"/>
      <sheetData sheetId="1"/>
      <sheetData sheetId="2">
        <row r="7">
          <cell r="C7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te.com.uy/sites/default/files/docs/Pliego%20Tarifario%20Vigente%20desde%201%20de%20Enero%20de%20202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brou.com.uy/documents/20182/49226/Tasas_20160905.pdf/3c2a1575-f48e-440d-bd97-f4a87fb1619e" TargetMode="External"/><Relationship Id="rId7" Type="http://schemas.openxmlformats.org/officeDocument/2006/relationships/hyperlink" Target="https://www.ancap.com.uy/2093/1/precios-combustibles.html" TargetMode="External"/><Relationship Id="rId12" Type="http://schemas.openxmlformats.org/officeDocument/2006/relationships/hyperlink" Target="https://www.volvotrucks.co.uk/en-gb/trucks/trucks/volvo-fl/volvo-fl-electric.html" TargetMode="External"/><Relationship Id="rId2" Type="http://schemas.openxmlformats.org/officeDocument/2006/relationships/hyperlink" Target="https://montevideo.gub.uy/sites/default/files/biblioteca/informefinalt.oneroso12032019_0.pdf" TargetMode="External"/><Relationship Id="rId1" Type="http://schemas.openxmlformats.org/officeDocument/2006/relationships/hyperlink" Target="https://www.xe.com/currencyconverter/convert/?Amount=1&amp;From=UYU&amp;To=USD" TargetMode="External"/><Relationship Id="rId6" Type="http://schemas.openxmlformats.org/officeDocument/2006/relationships/hyperlink" Target="https://www.energy.gov/sites/prod/files/2017/02/f34/67089%20EERE%20LIB%20cost%20vs%20price%20metrics%20r9.pdf" TargetMode="External"/><Relationship Id="rId11" Type="http://schemas.openxmlformats.org/officeDocument/2006/relationships/hyperlink" Target="https://www.volvotrucks.co.uk/en-gb/trucks/trucks/volvo-fl/volvo-fl-electric.html" TargetMode="External"/><Relationship Id="rId5" Type="http://schemas.openxmlformats.org/officeDocument/2006/relationships/hyperlink" Target="https://www.energy.gov/sites/prod/files/2017/02/f34/67089%20EERE%20LIB%20cost%20vs%20price%20metrics%20r9.pdf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www.volvotrucks.co.uk/en-gb/trucks/trucks/volvo-fl/volvo-fl-electric.html" TargetMode="External"/><Relationship Id="rId4" Type="http://schemas.openxmlformats.org/officeDocument/2006/relationships/hyperlink" Target="https://montevideo.gub.uy/noticias/movilidad-y-transporte/nueva-convocatoria-para-taxis-100-electricos" TargetMode="External"/><Relationship Id="rId9" Type="http://schemas.openxmlformats.org/officeDocument/2006/relationships/hyperlink" Target="https://www.volvotrucks.co.uk/en-gb/trucks/trucks/volvo-fl/volvo-fl-electric.html" TargetMode="External"/><Relationship Id="rId1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88507-BB45-4347-A936-F7AAE286E496}">
  <dimension ref="A1:O14"/>
  <sheetViews>
    <sheetView tabSelected="1" workbookViewId="0">
      <selection sqref="A1:XFD1048576"/>
    </sheetView>
  </sheetViews>
  <sheetFormatPr baseColWidth="10" defaultRowHeight="16.5" x14ac:dyDescent="0.3"/>
  <cols>
    <col min="1" max="15" width="11.85546875" style="264" customWidth="1"/>
    <col min="16" max="16384" width="11.42578125" style="264"/>
  </cols>
  <sheetData>
    <row r="1" spans="1:15" ht="17.25" thickBot="1" x14ac:dyDescent="0.35">
      <c r="A1" s="261" t="s">
        <v>213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3"/>
    </row>
    <row r="2" spans="1:15" x14ac:dyDescent="0.3">
      <c r="A2" s="265"/>
      <c r="O2" s="266"/>
    </row>
    <row r="3" spans="1:15" x14ac:dyDescent="0.3">
      <c r="A3" s="265" t="s">
        <v>214</v>
      </c>
      <c r="O3" s="266"/>
    </row>
    <row r="4" spans="1:15" x14ac:dyDescent="0.3">
      <c r="A4" s="265"/>
      <c r="O4" s="266"/>
    </row>
    <row r="5" spans="1:15" x14ac:dyDescent="0.3">
      <c r="A5" s="267"/>
      <c r="B5" s="264" t="s">
        <v>215</v>
      </c>
      <c r="O5" s="266"/>
    </row>
    <row r="6" spans="1:15" x14ac:dyDescent="0.3">
      <c r="A6" s="265"/>
      <c r="O6" s="266"/>
    </row>
    <row r="7" spans="1:15" x14ac:dyDescent="0.3">
      <c r="A7" s="268"/>
      <c r="B7" s="264" t="s">
        <v>216</v>
      </c>
      <c r="O7" s="266"/>
    </row>
    <row r="8" spans="1:15" x14ac:dyDescent="0.3">
      <c r="A8" s="265"/>
      <c r="O8" s="266"/>
    </row>
    <row r="9" spans="1:15" x14ac:dyDescent="0.3">
      <c r="A9" s="269"/>
      <c r="B9" s="264" t="s">
        <v>217</v>
      </c>
      <c r="O9" s="266"/>
    </row>
    <row r="10" spans="1:15" x14ac:dyDescent="0.3">
      <c r="A10" s="265"/>
      <c r="O10" s="266"/>
    </row>
    <row r="11" spans="1:15" x14ac:dyDescent="0.3">
      <c r="A11" s="265"/>
      <c r="O11" s="266"/>
    </row>
    <row r="12" spans="1:15" x14ac:dyDescent="0.3">
      <c r="A12" s="265" t="s">
        <v>218</v>
      </c>
      <c r="O12" s="266"/>
    </row>
    <row r="13" spans="1:15" x14ac:dyDescent="0.3">
      <c r="A13" s="265"/>
      <c r="O13" s="266"/>
    </row>
    <row r="14" spans="1:15" ht="17.25" thickBot="1" x14ac:dyDescent="0.35">
      <c r="A14" s="270" t="s">
        <v>219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2"/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C5EA-8F0E-436F-80F2-1FA6C505C803}">
  <dimension ref="A1:N139"/>
  <sheetViews>
    <sheetView zoomScaleNormal="100" workbookViewId="0">
      <selection sqref="A1:F1"/>
    </sheetView>
  </sheetViews>
  <sheetFormatPr baseColWidth="10" defaultColWidth="10.85546875" defaultRowHeight="13.5" x14ac:dyDescent="0.25"/>
  <cols>
    <col min="1" max="1" width="35.42578125" style="8" bestFit="1" customWidth="1"/>
    <col min="2" max="5" width="20.7109375" style="8" customWidth="1"/>
    <col min="6" max="6" width="22.42578125" style="8" customWidth="1"/>
    <col min="7" max="9" width="14.28515625" style="8" customWidth="1"/>
    <col min="10" max="13" width="16.140625" style="8" customWidth="1"/>
    <col min="14" max="16384" width="10.85546875" style="8"/>
  </cols>
  <sheetData>
    <row r="1" spans="1:14" s="4" customFormat="1" ht="15" x14ac:dyDescent="0.25">
      <c r="A1" s="231" t="s">
        <v>212</v>
      </c>
      <c r="B1" s="231"/>
      <c r="C1" s="231"/>
      <c r="D1" s="231"/>
      <c r="E1" s="231"/>
      <c r="F1" s="231"/>
      <c r="H1" s="96"/>
    </row>
    <row r="2" spans="1:14" s="4" customFormat="1" x14ac:dyDescent="0.25">
      <c r="C2" s="5"/>
      <c r="D2" s="5"/>
      <c r="E2" s="5"/>
    </row>
    <row r="3" spans="1:14" s="4" customFormat="1" x14ac:dyDescent="0.25">
      <c r="A3" s="232" t="s">
        <v>32</v>
      </c>
      <c r="B3" s="232"/>
      <c r="C3" s="232"/>
      <c r="D3" s="232"/>
      <c r="E3" s="232"/>
      <c r="F3" s="232"/>
    </row>
    <row r="4" spans="1:14" s="4" customFormat="1" x14ac:dyDescent="0.25">
      <c r="A4" s="6" t="s">
        <v>101</v>
      </c>
      <c r="C4" s="5"/>
      <c r="D4" s="5"/>
      <c r="E4" s="5"/>
      <c r="F4" s="7" t="s">
        <v>33</v>
      </c>
      <c r="G4" s="7" t="s">
        <v>34</v>
      </c>
      <c r="H4" s="7" t="s">
        <v>158</v>
      </c>
      <c r="I4" s="7" t="s">
        <v>104</v>
      </c>
    </row>
    <row r="5" spans="1:14" s="4" customFormat="1" x14ac:dyDescent="0.25">
      <c r="A5" s="7" t="s">
        <v>33</v>
      </c>
      <c r="B5" s="7" t="s">
        <v>34</v>
      </c>
      <c r="C5" s="7" t="s">
        <v>35</v>
      </c>
      <c r="D5" s="7" t="s">
        <v>36</v>
      </c>
      <c r="E5" s="11"/>
      <c r="F5" s="9" t="s">
        <v>81</v>
      </c>
      <c r="G5" s="9" t="s">
        <v>1</v>
      </c>
      <c r="H5" s="101">
        <f>C6</f>
        <v>110000</v>
      </c>
      <c r="I5" s="101">
        <f>C13</f>
        <v>150000</v>
      </c>
      <c r="M5" s="113" t="s">
        <v>99</v>
      </c>
    </row>
    <row r="6" spans="1:14" s="4" customFormat="1" ht="27" x14ac:dyDescent="0.25">
      <c r="A6" s="9" t="s">
        <v>0</v>
      </c>
      <c r="B6" s="9" t="s">
        <v>1</v>
      </c>
      <c r="C6" s="17">
        <v>110000</v>
      </c>
      <c r="D6" s="226" t="s">
        <v>209</v>
      </c>
      <c r="E6" s="153"/>
      <c r="F6" s="9" t="s">
        <v>139</v>
      </c>
      <c r="G6" s="9" t="s">
        <v>1</v>
      </c>
      <c r="H6" s="1" t="s">
        <v>30</v>
      </c>
      <c r="I6" s="102">
        <f>C22</f>
        <v>2000</v>
      </c>
      <c r="M6" s="4" t="s">
        <v>24</v>
      </c>
      <c r="N6" s="96" t="s">
        <v>25</v>
      </c>
    </row>
    <row r="7" spans="1:14" s="4" customFormat="1" ht="15" x14ac:dyDescent="0.25">
      <c r="A7" s="9" t="s">
        <v>37</v>
      </c>
      <c r="B7" s="9" t="s">
        <v>38</v>
      </c>
      <c r="C7" s="18">
        <v>8</v>
      </c>
      <c r="D7" s="3"/>
      <c r="E7" s="11"/>
      <c r="F7" s="9" t="s">
        <v>159</v>
      </c>
      <c r="G7" s="9" t="s">
        <v>38</v>
      </c>
      <c r="H7" s="103">
        <f>C7</f>
        <v>8</v>
      </c>
      <c r="I7" s="103">
        <f>C15</f>
        <v>8</v>
      </c>
      <c r="M7" s="4" t="s">
        <v>26</v>
      </c>
      <c r="N7" s="96" t="s">
        <v>27</v>
      </c>
    </row>
    <row r="8" spans="1:14" s="4" customFormat="1" ht="15.75" customHeight="1" x14ac:dyDescent="0.25">
      <c r="A8" s="9" t="s">
        <v>39</v>
      </c>
      <c r="B8" s="9" t="s">
        <v>2</v>
      </c>
      <c r="C8" s="154">
        <v>30</v>
      </c>
      <c r="D8" s="3"/>
      <c r="E8" s="11"/>
      <c r="F8" s="9" t="s">
        <v>160</v>
      </c>
      <c r="G8" s="9" t="s">
        <v>38</v>
      </c>
      <c r="H8" s="103" t="s">
        <v>30</v>
      </c>
      <c r="I8" s="103">
        <f>C15</f>
        <v>8</v>
      </c>
      <c r="M8" s="4" t="s">
        <v>29</v>
      </c>
      <c r="N8" s="96" t="s">
        <v>28</v>
      </c>
    </row>
    <row r="9" spans="1:14" s="4" customFormat="1" ht="71.25" x14ac:dyDescent="0.25">
      <c r="A9" s="9" t="s">
        <v>40</v>
      </c>
      <c r="B9" s="9" t="s">
        <v>3</v>
      </c>
      <c r="C9" s="155">
        <v>0.08</v>
      </c>
      <c r="D9" s="118" t="s">
        <v>110</v>
      </c>
      <c r="E9" s="11"/>
      <c r="F9" s="9" t="s">
        <v>140</v>
      </c>
      <c r="G9" s="9" t="s">
        <v>3</v>
      </c>
      <c r="H9" s="117">
        <f>C9</f>
        <v>0.08</v>
      </c>
      <c r="I9" s="117">
        <f>C18</f>
        <v>8.8000000000000009E-2</v>
      </c>
    </row>
    <row r="10" spans="1:14" ht="22.5" customHeight="1" x14ac:dyDescent="0.25">
      <c r="F10" s="9" t="s">
        <v>39</v>
      </c>
      <c r="G10" s="9" t="s">
        <v>30</v>
      </c>
      <c r="H10" s="114" t="s">
        <v>143</v>
      </c>
      <c r="I10" s="114" t="s">
        <v>176</v>
      </c>
      <c r="J10" s="4"/>
      <c r="K10" s="4"/>
    </row>
    <row r="11" spans="1:14" s="4" customFormat="1" x14ac:dyDescent="0.25">
      <c r="A11" s="6" t="s">
        <v>102</v>
      </c>
      <c r="C11" s="5"/>
      <c r="D11" s="5"/>
      <c r="E11" s="5"/>
      <c r="F11" s="9" t="s">
        <v>141</v>
      </c>
      <c r="G11" s="9" t="s">
        <v>51</v>
      </c>
      <c r="H11" s="236">
        <f>C37</f>
        <v>30000</v>
      </c>
      <c r="I11" s="236"/>
    </row>
    <row r="12" spans="1:14" s="4" customFormat="1" x14ac:dyDescent="0.25">
      <c r="A12" s="7" t="s">
        <v>33</v>
      </c>
      <c r="B12" s="7" t="s">
        <v>34</v>
      </c>
      <c r="C12" s="7" t="s">
        <v>35</v>
      </c>
      <c r="D12" s="7" t="s">
        <v>36</v>
      </c>
      <c r="E12" s="8"/>
      <c r="F12" s="9" t="s">
        <v>142</v>
      </c>
      <c r="G12" s="9" t="s">
        <v>55</v>
      </c>
      <c r="H12" s="235">
        <f>C40</f>
        <v>348</v>
      </c>
      <c r="I12" s="235"/>
    </row>
    <row r="13" spans="1:14" s="4" customFormat="1" ht="27" x14ac:dyDescent="0.25">
      <c r="A13" s="9" t="s">
        <v>161</v>
      </c>
      <c r="B13" s="9" t="s">
        <v>1</v>
      </c>
      <c r="C13" s="156">
        <v>150000</v>
      </c>
      <c r="D13" s="227" t="s">
        <v>210</v>
      </c>
      <c r="E13" s="153"/>
      <c r="F13" s="8"/>
      <c r="G13" s="8"/>
      <c r="H13" s="8"/>
      <c r="I13" s="8"/>
    </row>
    <row r="14" spans="1:14" s="4" customFormat="1" ht="15" x14ac:dyDescent="0.25">
      <c r="A14" s="9" t="s">
        <v>41</v>
      </c>
      <c r="B14" s="9" t="s">
        <v>23</v>
      </c>
      <c r="C14" s="157">
        <v>132</v>
      </c>
      <c r="D14" s="51"/>
      <c r="E14" s="228" t="s">
        <v>168</v>
      </c>
    </row>
    <row r="15" spans="1:14" s="4" customFormat="1" ht="27" x14ac:dyDescent="0.25">
      <c r="A15" s="9" t="s">
        <v>162</v>
      </c>
      <c r="B15" s="9" t="s">
        <v>38</v>
      </c>
      <c r="C15" s="158">
        <v>8</v>
      </c>
      <c r="D15" s="3" t="s">
        <v>112</v>
      </c>
      <c r="E15" s="228" t="s">
        <v>168</v>
      </c>
    </row>
    <row r="16" spans="1:14" s="4" customFormat="1" ht="15" x14ac:dyDescent="0.25">
      <c r="A16" s="9" t="s">
        <v>42</v>
      </c>
      <c r="B16" s="9" t="s">
        <v>38</v>
      </c>
      <c r="C16" s="158">
        <v>8</v>
      </c>
      <c r="D16" s="3" t="s">
        <v>43</v>
      </c>
      <c r="E16" s="228" t="s">
        <v>168</v>
      </c>
    </row>
    <row r="17" spans="1:7" s="4" customFormat="1" ht="37.5" customHeight="1" x14ac:dyDescent="0.25">
      <c r="A17" s="9" t="s">
        <v>39</v>
      </c>
      <c r="B17" s="9" t="s">
        <v>4</v>
      </c>
      <c r="C17" s="160">
        <f>132/300</f>
        <v>0.44</v>
      </c>
      <c r="D17" s="3"/>
      <c r="E17" s="228" t="s">
        <v>168</v>
      </c>
    </row>
    <row r="18" spans="1:7" ht="85.5" x14ac:dyDescent="0.25">
      <c r="A18" s="9" t="s">
        <v>40</v>
      </c>
      <c r="B18" s="9" t="s">
        <v>3</v>
      </c>
      <c r="C18" s="155">
        <f>C9*1.1</f>
        <v>8.8000000000000009E-2</v>
      </c>
      <c r="D18" s="118" t="s">
        <v>111</v>
      </c>
      <c r="E18" s="11"/>
    </row>
    <row r="19" spans="1:7" s="11" customFormat="1" x14ac:dyDescent="0.25">
      <c r="A19" s="10"/>
      <c r="B19" s="10"/>
      <c r="C19" s="91"/>
      <c r="D19" s="92"/>
    </row>
    <row r="20" spans="1:7" s="4" customFormat="1" x14ac:dyDescent="0.25">
      <c r="A20" s="6" t="s">
        <v>108</v>
      </c>
      <c r="C20" s="5"/>
      <c r="D20" s="5"/>
      <c r="E20" s="13"/>
    </row>
    <row r="21" spans="1:7" s="4" customFormat="1" x14ac:dyDescent="0.25">
      <c r="A21" s="7" t="s">
        <v>33</v>
      </c>
      <c r="B21" s="7" t="s">
        <v>34</v>
      </c>
      <c r="C21" s="7" t="s">
        <v>35</v>
      </c>
      <c r="D21" s="7" t="s">
        <v>36</v>
      </c>
      <c r="E21" s="11"/>
      <c r="F21" s="8"/>
      <c r="G21" s="8"/>
    </row>
    <row r="22" spans="1:7" ht="40.5" x14ac:dyDescent="0.25">
      <c r="A22" s="9" t="s">
        <v>82</v>
      </c>
      <c r="B22" s="9" t="s">
        <v>1</v>
      </c>
      <c r="C22" s="159">
        <v>2000</v>
      </c>
      <c r="D22" s="3" t="s">
        <v>165</v>
      </c>
      <c r="E22" s="11"/>
    </row>
    <row r="23" spans="1:7" x14ac:dyDescent="0.25">
      <c r="A23" s="9" t="s">
        <v>166</v>
      </c>
      <c r="B23" s="9" t="s">
        <v>167</v>
      </c>
      <c r="C23" s="157">
        <v>40</v>
      </c>
      <c r="D23" s="3"/>
      <c r="E23" s="11"/>
    </row>
    <row r="24" spans="1:7" s="4" customFormat="1" x14ac:dyDescent="0.25">
      <c r="A24" s="9" t="s">
        <v>169</v>
      </c>
      <c r="B24" s="9" t="s">
        <v>9</v>
      </c>
      <c r="C24" s="161">
        <v>0.8</v>
      </c>
      <c r="D24" s="234" t="s">
        <v>47</v>
      </c>
      <c r="E24" s="8"/>
      <c r="F24" s="8"/>
      <c r="G24" s="8"/>
    </row>
    <row r="25" spans="1:7" s="4" customFormat="1" x14ac:dyDescent="0.25">
      <c r="A25" s="9" t="s">
        <v>45</v>
      </c>
      <c r="B25" s="9" t="s">
        <v>9</v>
      </c>
      <c r="C25" s="161">
        <v>0.2</v>
      </c>
      <c r="D25" s="234"/>
      <c r="E25" s="8"/>
      <c r="F25" s="8"/>
      <c r="G25" s="8"/>
    </row>
    <row r="26" spans="1:7" s="4" customFormat="1" x14ac:dyDescent="0.25">
      <c r="A26" s="9" t="s">
        <v>44</v>
      </c>
      <c r="B26" s="9" t="s">
        <v>46</v>
      </c>
      <c r="C26" s="162">
        <v>10</v>
      </c>
      <c r="D26" s="3" t="s">
        <v>48</v>
      </c>
      <c r="E26" s="8"/>
      <c r="F26" s="8"/>
      <c r="G26" s="8"/>
    </row>
    <row r="27" spans="1:7" s="4" customFormat="1" x14ac:dyDescent="0.25">
      <c r="E27" s="8"/>
      <c r="F27" s="8"/>
      <c r="G27" s="8"/>
    </row>
    <row r="28" spans="1:7" x14ac:dyDescent="0.25">
      <c r="A28" s="6" t="s">
        <v>175</v>
      </c>
      <c r="B28" s="4"/>
      <c r="C28" s="5"/>
      <c r="D28" s="5"/>
      <c r="E28" s="5"/>
    </row>
    <row r="29" spans="1:7" x14ac:dyDescent="0.25">
      <c r="A29" s="7" t="s">
        <v>33</v>
      </c>
      <c r="B29" s="7" t="s">
        <v>34</v>
      </c>
      <c r="C29" s="7" t="s">
        <v>35</v>
      </c>
      <c r="D29" s="7" t="s">
        <v>36</v>
      </c>
    </row>
    <row r="30" spans="1:7" ht="27" x14ac:dyDescent="0.25">
      <c r="A30" s="9" t="s">
        <v>115</v>
      </c>
      <c r="B30" s="9" t="s">
        <v>9</v>
      </c>
      <c r="C30" s="161">
        <v>0.5</v>
      </c>
      <c r="D30" s="3" t="s">
        <v>116</v>
      </c>
      <c r="E30" s="96" t="s">
        <v>117</v>
      </c>
    </row>
    <row r="31" spans="1:7" ht="27" x14ac:dyDescent="0.25">
      <c r="A31" s="9" t="s">
        <v>118</v>
      </c>
      <c r="B31" s="9" t="s">
        <v>9</v>
      </c>
      <c r="C31" s="161">
        <v>0.7</v>
      </c>
      <c r="D31" s="3" t="s">
        <v>116</v>
      </c>
      <c r="E31" s="96" t="s">
        <v>117</v>
      </c>
    </row>
    <row r="32" spans="1:7" x14ac:dyDescent="0.25">
      <c r="C32" s="14">
        <v>-0.1</v>
      </c>
    </row>
    <row r="33" spans="1:9" x14ac:dyDescent="0.25">
      <c r="C33" s="14"/>
    </row>
    <row r="34" spans="1:9" x14ac:dyDescent="0.25">
      <c r="A34" s="230" t="s">
        <v>49</v>
      </c>
      <c r="B34" s="230"/>
      <c r="C34" s="230"/>
      <c r="D34" s="230"/>
      <c r="E34" s="233" t="s">
        <v>84</v>
      </c>
      <c r="F34" s="233"/>
      <c r="G34" s="233"/>
      <c r="H34" s="233"/>
      <c r="I34" s="233"/>
    </row>
    <row r="35" spans="1:9" x14ac:dyDescent="0.25">
      <c r="G35" s="63"/>
      <c r="H35" s="122" t="s">
        <v>121</v>
      </c>
      <c r="I35" s="122" t="s">
        <v>122</v>
      </c>
    </row>
    <row r="36" spans="1:9" x14ac:dyDescent="0.25">
      <c r="A36" s="7" t="s">
        <v>33</v>
      </c>
      <c r="B36" s="7" t="s">
        <v>34</v>
      </c>
      <c r="C36" s="7" t="s">
        <v>35</v>
      </c>
      <c r="D36" s="7" t="s">
        <v>36</v>
      </c>
      <c r="F36" s="7" t="s">
        <v>33</v>
      </c>
      <c r="G36" s="7" t="s">
        <v>34</v>
      </c>
      <c r="H36" s="7" t="s">
        <v>35</v>
      </c>
    </row>
    <row r="37" spans="1:9" x14ac:dyDescent="0.25">
      <c r="A37" s="9" t="s">
        <v>50</v>
      </c>
      <c r="B37" s="9" t="s">
        <v>51</v>
      </c>
      <c r="C37" s="163">
        <v>30000</v>
      </c>
      <c r="D37" s="51" t="s">
        <v>120</v>
      </c>
      <c r="F37" s="9" t="s">
        <v>50</v>
      </c>
      <c r="G37" s="9" t="s">
        <v>51</v>
      </c>
      <c r="H37" s="18">
        <v>60000</v>
      </c>
      <c r="I37" s="18">
        <v>15000</v>
      </c>
    </row>
    <row r="38" spans="1:9" x14ac:dyDescent="0.25">
      <c r="A38" s="9" t="s">
        <v>52</v>
      </c>
      <c r="B38" s="9" t="s">
        <v>8</v>
      </c>
      <c r="C38" s="164">
        <f>C37*C7</f>
        <v>240000</v>
      </c>
      <c r="D38" s="1" t="s">
        <v>58</v>
      </c>
      <c r="F38" s="9" t="s">
        <v>52</v>
      </c>
      <c r="G38" s="9" t="s">
        <v>8</v>
      </c>
      <c r="H38" s="12">
        <f>H37*C7</f>
        <v>480000</v>
      </c>
      <c r="I38" s="12">
        <f>I37*C7</f>
        <v>120000</v>
      </c>
    </row>
    <row r="39" spans="1:9" x14ac:dyDescent="0.25">
      <c r="A39" s="9" t="s">
        <v>53</v>
      </c>
      <c r="B39" s="9" t="s">
        <v>8</v>
      </c>
      <c r="C39" s="164">
        <f>C37*$C$15</f>
        <v>240000</v>
      </c>
      <c r="D39" s="1" t="s">
        <v>58</v>
      </c>
      <c r="F39" s="9" t="s">
        <v>53</v>
      </c>
      <c r="G39" s="9" t="s">
        <v>8</v>
      </c>
      <c r="H39" s="12">
        <f>H37*C16</f>
        <v>480000</v>
      </c>
      <c r="I39" s="12">
        <f>I37*C15</f>
        <v>120000</v>
      </c>
    </row>
    <row r="40" spans="1:9" ht="27" x14ac:dyDescent="0.25">
      <c r="A40" s="9" t="s">
        <v>54</v>
      </c>
      <c r="B40" s="9" t="s">
        <v>55</v>
      </c>
      <c r="C40" s="18">
        <f>29*12</f>
        <v>348</v>
      </c>
      <c r="D40" s="1" t="s">
        <v>48</v>
      </c>
      <c r="F40" s="9" t="s">
        <v>54</v>
      </c>
      <c r="G40" s="9" t="s">
        <v>55</v>
      </c>
      <c r="H40" s="18">
        <v>300</v>
      </c>
      <c r="I40" s="18">
        <v>300</v>
      </c>
    </row>
    <row r="41" spans="1:9" x14ac:dyDescent="0.25">
      <c r="A41" s="9" t="s">
        <v>56</v>
      </c>
      <c r="B41" s="9" t="s">
        <v>8</v>
      </c>
      <c r="C41" s="12">
        <f>C37/C40</f>
        <v>86.206896551724142</v>
      </c>
      <c r="D41" s="1" t="s">
        <v>58</v>
      </c>
      <c r="F41" s="9" t="s">
        <v>56</v>
      </c>
      <c r="G41" s="9" t="s">
        <v>8</v>
      </c>
      <c r="H41" s="12">
        <f>H37/H40</f>
        <v>200</v>
      </c>
      <c r="I41" s="12">
        <f>I37/I40</f>
        <v>50</v>
      </c>
    </row>
    <row r="42" spans="1:9" ht="12" customHeight="1" x14ac:dyDescent="0.25">
      <c r="A42" s="9" t="s">
        <v>57</v>
      </c>
      <c r="B42" s="9" t="s">
        <v>7</v>
      </c>
      <c r="C42" s="12">
        <f>C41*$C$17</f>
        <v>37.931034482758626</v>
      </c>
      <c r="D42" s="1" t="s">
        <v>58</v>
      </c>
      <c r="F42" s="9" t="s">
        <v>57</v>
      </c>
      <c r="G42" s="9" t="s">
        <v>7</v>
      </c>
      <c r="H42" s="12">
        <f>H41*$C$17</f>
        <v>88</v>
      </c>
      <c r="I42" s="12">
        <f>I41*$C$17</f>
        <v>22</v>
      </c>
    </row>
    <row r="43" spans="1:9" s="11" customFormat="1" ht="12" customHeight="1" x14ac:dyDescent="0.25">
      <c r="A43" s="10"/>
      <c r="B43" s="10"/>
      <c r="C43" s="15"/>
      <c r="D43" s="13"/>
    </row>
    <row r="45" spans="1:9" x14ac:dyDescent="0.25">
      <c r="A45" s="230" t="s">
        <v>67</v>
      </c>
      <c r="B45" s="230"/>
      <c r="C45" s="230"/>
      <c r="D45" s="230"/>
      <c r="E45" s="230"/>
      <c r="F45" s="230"/>
    </row>
    <row r="46" spans="1:9" x14ac:dyDescent="0.25">
      <c r="A46" s="6"/>
    </row>
    <row r="47" spans="1:9" x14ac:dyDescent="0.25">
      <c r="A47" s="7" t="s">
        <v>33</v>
      </c>
      <c r="B47" s="7" t="s">
        <v>34</v>
      </c>
      <c r="C47" s="7" t="s">
        <v>35</v>
      </c>
      <c r="D47" s="7" t="s">
        <v>36</v>
      </c>
    </row>
    <row r="48" spans="1:9" ht="27" x14ac:dyDescent="0.25">
      <c r="A48" s="9" t="s">
        <v>59</v>
      </c>
      <c r="B48" s="9" t="s">
        <v>9</v>
      </c>
      <c r="C48" s="19">
        <v>0.7</v>
      </c>
      <c r="D48" s="3"/>
    </row>
    <row r="49" spans="1:8" x14ac:dyDescent="0.25">
      <c r="A49" s="9" t="s">
        <v>60</v>
      </c>
      <c r="B49" s="9" t="s">
        <v>38</v>
      </c>
      <c r="C49" s="115">
        <v>5</v>
      </c>
      <c r="D49" s="3"/>
    </row>
    <row r="50" spans="1:8" x14ac:dyDescent="0.25">
      <c r="A50" s="9" t="s">
        <v>61</v>
      </c>
      <c r="B50" s="9" t="s">
        <v>62</v>
      </c>
      <c r="C50" s="20">
        <v>0.1</v>
      </c>
      <c r="D50" s="1" t="s">
        <v>26</v>
      </c>
    </row>
    <row r="51" spans="1:8" x14ac:dyDescent="0.25">
      <c r="A51" s="9" t="s">
        <v>63</v>
      </c>
      <c r="B51" s="9" t="s">
        <v>62</v>
      </c>
      <c r="C51" s="20">
        <v>0.1</v>
      </c>
      <c r="D51" s="1" t="s">
        <v>26</v>
      </c>
    </row>
    <row r="52" spans="1:8" ht="60" x14ac:dyDescent="0.25">
      <c r="A52" s="9" t="s">
        <v>64</v>
      </c>
      <c r="B52" s="9" t="s">
        <v>65</v>
      </c>
      <c r="C52" s="160">
        <v>2.3E-2</v>
      </c>
      <c r="D52" s="21" t="s">
        <v>11</v>
      </c>
    </row>
    <row r="56" spans="1:8" ht="14.25" thickBot="1" x14ac:dyDescent="0.3">
      <c r="A56" s="230" t="s">
        <v>66</v>
      </c>
      <c r="B56" s="230"/>
      <c r="C56" s="230"/>
      <c r="D56" s="230"/>
      <c r="E56" s="230"/>
      <c r="F56" s="230"/>
      <c r="G56" s="230"/>
      <c r="H56" s="230"/>
    </row>
    <row r="57" spans="1:8" x14ac:dyDescent="0.25">
      <c r="A57" s="137"/>
      <c r="B57" s="165" t="s">
        <v>170</v>
      </c>
      <c r="C57" s="165" t="s">
        <v>171</v>
      </c>
      <c r="D57" s="138"/>
      <c r="E57" s="138"/>
      <c r="F57" s="138"/>
      <c r="G57" s="138"/>
      <c r="H57" s="139"/>
    </row>
    <row r="58" spans="1:8" x14ac:dyDescent="0.25">
      <c r="A58" s="148" t="s">
        <v>190</v>
      </c>
      <c r="B58" s="166">
        <v>53.99</v>
      </c>
      <c r="C58" s="171">
        <f>B58*$C$52</f>
        <v>1.24177</v>
      </c>
      <c r="H58" s="150"/>
    </row>
    <row r="59" spans="1:8" x14ac:dyDescent="0.25">
      <c r="A59" s="148"/>
      <c r="B59" s="237" t="s">
        <v>177</v>
      </c>
      <c r="C59" s="237"/>
      <c r="D59" s="237" t="s">
        <v>178</v>
      </c>
      <c r="E59" s="237"/>
      <c r="H59" s="150"/>
    </row>
    <row r="60" spans="1:8" x14ac:dyDescent="0.25">
      <c r="A60" s="148"/>
      <c r="B60" s="168" t="s">
        <v>179</v>
      </c>
      <c r="C60" s="168" t="s">
        <v>180</v>
      </c>
      <c r="D60" s="168" t="s">
        <v>179</v>
      </c>
      <c r="E60" s="168" t="s">
        <v>180</v>
      </c>
      <c r="H60" s="150"/>
    </row>
    <row r="61" spans="1:8" x14ac:dyDescent="0.25">
      <c r="A61" s="148" t="s">
        <v>181</v>
      </c>
      <c r="B61" s="169">
        <v>3.363</v>
      </c>
      <c r="C61" s="167">
        <f>B61*$C$52</f>
        <v>7.7349000000000001E-2</v>
      </c>
      <c r="D61" s="169">
        <v>6.2530000000000001</v>
      </c>
      <c r="E61" s="167">
        <f>D61*$C$52</f>
        <v>0.143819</v>
      </c>
      <c r="H61" s="150"/>
    </row>
    <row r="62" spans="1:8" x14ac:dyDescent="0.25">
      <c r="A62" s="148"/>
      <c r="B62" s="168" t="s">
        <v>182</v>
      </c>
      <c r="C62" s="168" t="s">
        <v>183</v>
      </c>
      <c r="G62" s="143" t="s">
        <v>184</v>
      </c>
      <c r="H62" s="150"/>
    </row>
    <row r="63" spans="1:8" x14ac:dyDescent="0.25">
      <c r="A63" s="148" t="s">
        <v>185</v>
      </c>
      <c r="B63" s="169">
        <v>0</v>
      </c>
      <c r="C63" s="171">
        <f>B63*$C$52</f>
        <v>0</v>
      </c>
      <c r="D63" s="8" t="s">
        <v>191</v>
      </c>
      <c r="G63" s="170">
        <v>0.5</v>
      </c>
      <c r="H63" s="150"/>
    </row>
    <row r="64" spans="1:8" x14ac:dyDescent="0.25">
      <c r="A64" s="148" t="s">
        <v>186</v>
      </c>
      <c r="B64" s="172">
        <f>B63*G63</f>
        <v>0</v>
      </c>
      <c r="C64" s="171">
        <f>B64*$C$52</f>
        <v>0</v>
      </c>
      <c r="D64" s="8" t="s">
        <v>192</v>
      </c>
      <c r="H64" s="150"/>
    </row>
    <row r="65" spans="1:14" x14ac:dyDescent="0.25">
      <c r="A65" s="148"/>
      <c r="B65" s="168" t="s">
        <v>187</v>
      </c>
      <c r="C65" s="168" t="s">
        <v>188</v>
      </c>
      <c r="H65" s="150"/>
    </row>
    <row r="66" spans="1:14" x14ac:dyDescent="0.25">
      <c r="A66" s="148" t="s">
        <v>189</v>
      </c>
      <c r="B66" s="169">
        <v>784.4</v>
      </c>
      <c r="C66" s="171">
        <f>B66*$C$52</f>
        <v>18.0412</v>
      </c>
      <c r="H66" s="150"/>
    </row>
    <row r="67" spans="1:14" ht="14.25" thickBot="1" x14ac:dyDescent="0.3">
      <c r="A67" s="140" t="s">
        <v>186</v>
      </c>
      <c r="B67" s="173">
        <f>B66*G63</f>
        <v>392.2</v>
      </c>
      <c r="C67" s="174">
        <f>B67*$C$52</f>
        <v>9.0206</v>
      </c>
      <c r="D67" s="141"/>
      <c r="E67" s="141"/>
      <c r="F67" s="141"/>
      <c r="G67" s="141"/>
      <c r="H67" s="142"/>
      <c r="J67" s="122"/>
      <c r="K67" s="122"/>
      <c r="L67" s="122"/>
      <c r="M67" s="122"/>
    </row>
    <row r="68" spans="1:14" x14ac:dyDescent="0.25">
      <c r="J68" s="122"/>
      <c r="K68" s="122"/>
      <c r="L68" s="122"/>
      <c r="M68" s="122"/>
    </row>
    <row r="69" spans="1:14" ht="14.25" thickBot="1" x14ac:dyDescent="0.3">
      <c r="J69" s="122"/>
      <c r="K69" s="122"/>
      <c r="L69" s="122"/>
      <c r="M69" s="122"/>
    </row>
    <row r="70" spans="1:14" ht="14.25" customHeight="1" x14ac:dyDescent="0.25">
      <c r="A70" s="145" t="s">
        <v>197</v>
      </c>
      <c r="B70" s="146">
        <v>0</v>
      </c>
      <c r="C70" s="147"/>
      <c r="D70" s="138" t="s">
        <v>193</v>
      </c>
      <c r="E70" s="138"/>
      <c r="F70" s="138"/>
      <c r="G70" s="138"/>
      <c r="H70" s="139"/>
      <c r="J70" s="122"/>
      <c r="K70" s="122"/>
      <c r="L70" s="122"/>
      <c r="M70" s="122"/>
    </row>
    <row r="71" spans="1:14" x14ac:dyDescent="0.25">
      <c r="A71" s="148" t="s">
        <v>172</v>
      </c>
      <c r="B71" s="149">
        <v>0</v>
      </c>
      <c r="C71" s="144"/>
      <c r="D71" s="8" t="s">
        <v>173</v>
      </c>
      <c r="H71" s="150"/>
      <c r="J71" s="122"/>
    </row>
    <row r="72" spans="1:14" x14ac:dyDescent="0.25">
      <c r="A72" s="148" t="s">
        <v>174</v>
      </c>
      <c r="B72" s="149">
        <v>0</v>
      </c>
      <c r="H72" s="150"/>
      <c r="K72" s="229" t="s">
        <v>84</v>
      </c>
      <c r="L72" s="229"/>
      <c r="M72" s="229"/>
      <c r="N72" s="229"/>
    </row>
    <row r="73" spans="1:14" ht="14.25" thickBot="1" x14ac:dyDescent="0.3">
      <c r="A73" s="140" t="s">
        <v>194</v>
      </c>
      <c r="B73" s="151">
        <v>0</v>
      </c>
      <c r="C73" s="152"/>
      <c r="D73" s="141"/>
      <c r="E73" s="141"/>
      <c r="F73" s="141"/>
      <c r="G73" s="141"/>
      <c r="H73" s="142"/>
      <c r="K73" s="122" t="s">
        <v>121</v>
      </c>
      <c r="L73" s="122" t="s">
        <v>122</v>
      </c>
      <c r="M73" s="122" t="s">
        <v>121</v>
      </c>
      <c r="N73" s="122" t="s">
        <v>122</v>
      </c>
    </row>
    <row r="74" spans="1:14" ht="36" customHeight="1" x14ac:dyDescent="0.25">
      <c r="A74" s="7" t="s">
        <v>80</v>
      </c>
      <c r="B74" s="7" t="s">
        <v>196</v>
      </c>
      <c r="C74" s="93" t="s">
        <v>198</v>
      </c>
      <c r="D74" s="93" t="s">
        <v>68</v>
      </c>
      <c r="E74" s="7" t="s">
        <v>195</v>
      </c>
      <c r="F74" s="7" t="s">
        <v>189</v>
      </c>
      <c r="H74" s="7" t="s">
        <v>196</v>
      </c>
      <c r="I74" s="7" t="s">
        <v>83</v>
      </c>
      <c r="K74" s="7" t="s">
        <v>196</v>
      </c>
      <c r="L74" s="7" t="s">
        <v>196</v>
      </c>
      <c r="M74" s="7" t="s">
        <v>83</v>
      </c>
      <c r="N74" s="7" t="s">
        <v>83</v>
      </c>
    </row>
    <row r="75" spans="1:14" x14ac:dyDescent="0.25">
      <c r="A75" s="9"/>
      <c r="B75" s="9" t="s">
        <v>10</v>
      </c>
      <c r="C75" s="9" t="s">
        <v>6</v>
      </c>
      <c r="D75" s="9" t="s">
        <v>6</v>
      </c>
      <c r="E75" s="9" t="s">
        <v>163</v>
      </c>
      <c r="F75" s="9" t="s">
        <v>1</v>
      </c>
      <c r="H75" s="9" t="s">
        <v>1</v>
      </c>
      <c r="I75" s="9" t="s">
        <v>1</v>
      </c>
      <c r="K75" s="9" t="s">
        <v>1</v>
      </c>
      <c r="L75" s="9" t="s">
        <v>1</v>
      </c>
      <c r="M75" s="9" t="s">
        <v>1</v>
      </c>
      <c r="N75" s="9" t="s">
        <v>1</v>
      </c>
    </row>
    <row r="76" spans="1:14" s="16" customFormat="1" x14ac:dyDescent="0.25">
      <c r="A76" s="9">
        <v>2020</v>
      </c>
      <c r="B76" s="23">
        <f>C58</f>
        <v>1.24177</v>
      </c>
      <c r="C76" s="23">
        <f>C61</f>
        <v>7.7349000000000001E-2</v>
      </c>
      <c r="D76" s="23">
        <f>E61</f>
        <v>0.143819</v>
      </c>
      <c r="E76" s="23">
        <f>C64*12</f>
        <v>0</v>
      </c>
      <c r="F76" s="23">
        <f>$C$67*12</f>
        <v>108.24719999999999</v>
      </c>
      <c r="G76" s="8"/>
      <c r="H76" s="24">
        <f>$B76*$C$8/100*$C$37</f>
        <v>11175.930000000002</v>
      </c>
      <c r="I76" s="24">
        <f>($C76*$C$24+$D76*$C$25)*$C$17*$C$37+$E76*$C$23+$F76</f>
        <v>1304.7348000000002</v>
      </c>
      <c r="J76" s="8"/>
      <c r="K76" s="24">
        <f>$B76*$C$8/100*$H$37</f>
        <v>22351.860000000004</v>
      </c>
      <c r="L76" s="24">
        <f>$B76*$C$8/100*$I$37</f>
        <v>5587.9650000000011</v>
      </c>
      <c r="M76" s="24">
        <f>($C76*$C$24+$D76*$C$25)*$C$17*$H$37+$E76*$C$23+$F76</f>
        <v>2501.2224000000001</v>
      </c>
      <c r="N76" s="24">
        <f>($C76*$C$24+$D76*$C$25)*$C$17*$I$37+$E76*$C$23+$F76</f>
        <v>706.4910000000001</v>
      </c>
    </row>
    <row r="77" spans="1:14" x14ac:dyDescent="0.25">
      <c r="A77" s="9">
        <v>2021</v>
      </c>
      <c r="B77" s="23">
        <f>B76*(1+$B$70)</f>
        <v>1.24177</v>
      </c>
      <c r="C77" s="23">
        <f>C76*(1+$B$71)</f>
        <v>7.7349000000000001E-2</v>
      </c>
      <c r="D77" s="23">
        <f>D76*(1+$B$72)</f>
        <v>0.143819</v>
      </c>
      <c r="E77" s="23">
        <f t="shared" ref="E77:E104" si="0">E76*(1+$B$96)</f>
        <v>0</v>
      </c>
      <c r="F77" s="23">
        <f t="shared" ref="F77:F104" si="1">$C$67*12</f>
        <v>108.24719999999999</v>
      </c>
      <c r="H77" s="24">
        <f t="shared" ref="H77:H104" si="2">$B77*$C$8/100*$C$37</f>
        <v>11175.930000000002</v>
      </c>
      <c r="I77" s="24">
        <f t="shared" ref="I77:I104" si="3">($C77*$C$24+$D77*$C$25)*$C$17*$C$37+$E77*$C$23+$F77</f>
        <v>1304.7348000000002</v>
      </c>
      <c r="K77" s="24">
        <f t="shared" ref="K77:K104" si="4">$B77*$C$8/100*$H$37</f>
        <v>22351.860000000004</v>
      </c>
      <c r="L77" s="24">
        <f t="shared" ref="L77:L104" si="5">$B77*$C$8/100*$I$37</f>
        <v>5587.9650000000011</v>
      </c>
      <c r="M77" s="24">
        <f t="shared" ref="M77:M104" si="6">($C77*$C$24+$D77*$C$25)*$C$17*$H$37+$E77*$C$23+$F77</f>
        <v>2501.2224000000001</v>
      </c>
      <c r="N77" s="24">
        <f t="shared" ref="N77:N104" si="7">($C77*$C$24+$D77*$C$25)*$C$17*$I$37+$E77*$C$23+$F77</f>
        <v>706.4910000000001</v>
      </c>
    </row>
    <row r="78" spans="1:14" x14ac:dyDescent="0.25">
      <c r="A78" s="9">
        <v>2022</v>
      </c>
      <c r="B78" s="23">
        <f t="shared" ref="B78:B104" si="8">B77*(1+$B$70)</f>
        <v>1.24177</v>
      </c>
      <c r="C78" s="23">
        <f t="shared" ref="C78:C104" si="9">C77*(1+$B$71)</f>
        <v>7.7349000000000001E-2</v>
      </c>
      <c r="D78" s="23">
        <f t="shared" ref="D78:D104" si="10">D77*(1+$B$72)</f>
        <v>0.143819</v>
      </c>
      <c r="E78" s="23">
        <f t="shared" si="0"/>
        <v>0</v>
      </c>
      <c r="F78" s="23">
        <f t="shared" si="1"/>
        <v>108.24719999999999</v>
      </c>
      <c r="H78" s="24">
        <f t="shared" si="2"/>
        <v>11175.930000000002</v>
      </c>
      <c r="I78" s="24">
        <f t="shared" si="3"/>
        <v>1304.7348000000002</v>
      </c>
      <c r="K78" s="24">
        <f t="shared" si="4"/>
        <v>22351.860000000004</v>
      </c>
      <c r="L78" s="24">
        <f t="shared" si="5"/>
        <v>5587.9650000000011</v>
      </c>
      <c r="M78" s="24">
        <f t="shared" si="6"/>
        <v>2501.2224000000001</v>
      </c>
      <c r="N78" s="24">
        <f t="shared" si="7"/>
        <v>706.4910000000001</v>
      </c>
    </row>
    <row r="79" spans="1:14" x14ac:dyDescent="0.25">
      <c r="A79" s="9">
        <v>2023</v>
      </c>
      <c r="B79" s="23">
        <f t="shared" si="8"/>
        <v>1.24177</v>
      </c>
      <c r="C79" s="23">
        <f t="shared" si="9"/>
        <v>7.7349000000000001E-2</v>
      </c>
      <c r="D79" s="23">
        <f t="shared" si="10"/>
        <v>0.143819</v>
      </c>
      <c r="E79" s="23">
        <f t="shared" si="0"/>
        <v>0</v>
      </c>
      <c r="F79" s="23">
        <f t="shared" si="1"/>
        <v>108.24719999999999</v>
      </c>
      <c r="H79" s="24">
        <f t="shared" si="2"/>
        <v>11175.930000000002</v>
      </c>
      <c r="I79" s="24">
        <f t="shared" si="3"/>
        <v>1304.7348000000002</v>
      </c>
      <c r="K79" s="24">
        <f t="shared" si="4"/>
        <v>22351.860000000004</v>
      </c>
      <c r="L79" s="24">
        <f t="shared" si="5"/>
        <v>5587.9650000000011</v>
      </c>
      <c r="M79" s="24">
        <f t="shared" si="6"/>
        <v>2501.2224000000001</v>
      </c>
      <c r="N79" s="24">
        <f t="shared" si="7"/>
        <v>706.4910000000001</v>
      </c>
    </row>
    <row r="80" spans="1:14" x14ac:dyDescent="0.25">
      <c r="A80" s="9">
        <v>2024</v>
      </c>
      <c r="B80" s="23">
        <f t="shared" si="8"/>
        <v>1.24177</v>
      </c>
      <c r="C80" s="23">
        <f t="shared" si="9"/>
        <v>7.7349000000000001E-2</v>
      </c>
      <c r="D80" s="23">
        <f t="shared" si="10"/>
        <v>0.143819</v>
      </c>
      <c r="E80" s="23">
        <f t="shared" si="0"/>
        <v>0</v>
      </c>
      <c r="F80" s="23">
        <f t="shared" si="1"/>
        <v>108.24719999999999</v>
      </c>
      <c r="H80" s="24">
        <f t="shared" si="2"/>
        <v>11175.930000000002</v>
      </c>
      <c r="I80" s="24">
        <f t="shared" si="3"/>
        <v>1304.7348000000002</v>
      </c>
      <c r="K80" s="24">
        <f t="shared" si="4"/>
        <v>22351.860000000004</v>
      </c>
      <c r="L80" s="24">
        <f t="shared" si="5"/>
        <v>5587.9650000000011</v>
      </c>
      <c r="M80" s="24">
        <f t="shared" si="6"/>
        <v>2501.2224000000001</v>
      </c>
      <c r="N80" s="24">
        <f t="shared" si="7"/>
        <v>706.4910000000001</v>
      </c>
    </row>
    <row r="81" spans="1:14" x14ac:dyDescent="0.25">
      <c r="A81" s="9">
        <v>2025</v>
      </c>
      <c r="B81" s="23">
        <f t="shared" si="8"/>
        <v>1.24177</v>
      </c>
      <c r="C81" s="23">
        <f t="shared" si="9"/>
        <v>7.7349000000000001E-2</v>
      </c>
      <c r="D81" s="23">
        <f t="shared" si="10"/>
        <v>0.143819</v>
      </c>
      <c r="E81" s="23">
        <f t="shared" si="0"/>
        <v>0</v>
      </c>
      <c r="F81" s="23">
        <f t="shared" si="1"/>
        <v>108.24719999999999</v>
      </c>
      <c r="H81" s="24">
        <f t="shared" si="2"/>
        <v>11175.930000000002</v>
      </c>
      <c r="I81" s="24">
        <f t="shared" si="3"/>
        <v>1304.7348000000002</v>
      </c>
      <c r="K81" s="24">
        <f t="shared" si="4"/>
        <v>22351.860000000004</v>
      </c>
      <c r="L81" s="24">
        <f t="shared" si="5"/>
        <v>5587.9650000000011</v>
      </c>
      <c r="M81" s="24">
        <f t="shared" si="6"/>
        <v>2501.2224000000001</v>
      </c>
      <c r="N81" s="24">
        <f t="shared" si="7"/>
        <v>706.4910000000001</v>
      </c>
    </row>
    <row r="82" spans="1:14" x14ac:dyDescent="0.25">
      <c r="A82" s="9">
        <v>2026</v>
      </c>
      <c r="B82" s="23">
        <f t="shared" si="8"/>
        <v>1.24177</v>
      </c>
      <c r="C82" s="23">
        <f t="shared" si="9"/>
        <v>7.7349000000000001E-2</v>
      </c>
      <c r="D82" s="23">
        <f t="shared" si="10"/>
        <v>0.143819</v>
      </c>
      <c r="E82" s="23">
        <f t="shared" si="0"/>
        <v>0</v>
      </c>
      <c r="F82" s="23">
        <f t="shared" si="1"/>
        <v>108.24719999999999</v>
      </c>
      <c r="H82" s="24">
        <f t="shared" si="2"/>
        <v>11175.930000000002</v>
      </c>
      <c r="I82" s="24">
        <f t="shared" si="3"/>
        <v>1304.7348000000002</v>
      </c>
      <c r="K82" s="24">
        <f t="shared" si="4"/>
        <v>22351.860000000004</v>
      </c>
      <c r="L82" s="24">
        <f t="shared" si="5"/>
        <v>5587.9650000000011</v>
      </c>
      <c r="M82" s="24">
        <f t="shared" si="6"/>
        <v>2501.2224000000001</v>
      </c>
      <c r="N82" s="24">
        <f t="shared" si="7"/>
        <v>706.4910000000001</v>
      </c>
    </row>
    <row r="83" spans="1:14" x14ac:dyDescent="0.25">
      <c r="A83" s="9">
        <v>2027</v>
      </c>
      <c r="B83" s="23">
        <f t="shared" si="8"/>
        <v>1.24177</v>
      </c>
      <c r="C83" s="23">
        <f t="shared" si="9"/>
        <v>7.7349000000000001E-2</v>
      </c>
      <c r="D83" s="23">
        <f t="shared" si="10"/>
        <v>0.143819</v>
      </c>
      <c r="E83" s="23">
        <f t="shared" si="0"/>
        <v>0</v>
      </c>
      <c r="F83" s="23">
        <f t="shared" si="1"/>
        <v>108.24719999999999</v>
      </c>
      <c r="H83" s="24">
        <f t="shared" si="2"/>
        <v>11175.930000000002</v>
      </c>
      <c r="I83" s="24">
        <f t="shared" si="3"/>
        <v>1304.7348000000002</v>
      </c>
      <c r="K83" s="24">
        <f t="shared" si="4"/>
        <v>22351.860000000004</v>
      </c>
      <c r="L83" s="24">
        <f t="shared" si="5"/>
        <v>5587.9650000000011</v>
      </c>
      <c r="M83" s="24">
        <f t="shared" si="6"/>
        <v>2501.2224000000001</v>
      </c>
      <c r="N83" s="24">
        <f t="shared" si="7"/>
        <v>706.4910000000001</v>
      </c>
    </row>
    <row r="84" spans="1:14" x14ac:dyDescent="0.25">
      <c r="A84" s="9">
        <v>2028</v>
      </c>
      <c r="B84" s="23">
        <f t="shared" si="8"/>
        <v>1.24177</v>
      </c>
      <c r="C84" s="23">
        <f t="shared" si="9"/>
        <v>7.7349000000000001E-2</v>
      </c>
      <c r="D84" s="23">
        <f t="shared" si="10"/>
        <v>0.143819</v>
      </c>
      <c r="E84" s="23">
        <f t="shared" si="0"/>
        <v>0</v>
      </c>
      <c r="F84" s="23">
        <f t="shared" si="1"/>
        <v>108.24719999999999</v>
      </c>
      <c r="H84" s="24">
        <f t="shared" si="2"/>
        <v>11175.930000000002</v>
      </c>
      <c r="I84" s="24">
        <f t="shared" si="3"/>
        <v>1304.7348000000002</v>
      </c>
      <c r="K84" s="24">
        <f t="shared" si="4"/>
        <v>22351.860000000004</v>
      </c>
      <c r="L84" s="24">
        <f t="shared" si="5"/>
        <v>5587.9650000000011</v>
      </c>
      <c r="M84" s="24">
        <f t="shared" si="6"/>
        <v>2501.2224000000001</v>
      </c>
      <c r="N84" s="24">
        <f t="shared" si="7"/>
        <v>706.4910000000001</v>
      </c>
    </row>
    <row r="85" spans="1:14" x14ac:dyDescent="0.25">
      <c r="A85" s="9">
        <v>2029</v>
      </c>
      <c r="B85" s="23">
        <f t="shared" si="8"/>
        <v>1.24177</v>
      </c>
      <c r="C85" s="23">
        <f t="shared" si="9"/>
        <v>7.7349000000000001E-2</v>
      </c>
      <c r="D85" s="23">
        <f t="shared" si="10"/>
        <v>0.143819</v>
      </c>
      <c r="E85" s="23">
        <f t="shared" si="0"/>
        <v>0</v>
      </c>
      <c r="F85" s="23">
        <f t="shared" si="1"/>
        <v>108.24719999999999</v>
      </c>
      <c r="H85" s="24">
        <f t="shared" si="2"/>
        <v>11175.930000000002</v>
      </c>
      <c r="I85" s="24">
        <f t="shared" si="3"/>
        <v>1304.7348000000002</v>
      </c>
      <c r="K85" s="24">
        <f t="shared" si="4"/>
        <v>22351.860000000004</v>
      </c>
      <c r="L85" s="24">
        <f t="shared" si="5"/>
        <v>5587.9650000000011</v>
      </c>
      <c r="M85" s="24">
        <f t="shared" si="6"/>
        <v>2501.2224000000001</v>
      </c>
      <c r="N85" s="24">
        <f t="shared" si="7"/>
        <v>706.4910000000001</v>
      </c>
    </row>
    <row r="86" spans="1:14" x14ac:dyDescent="0.25">
      <c r="A86" s="9">
        <v>2030</v>
      </c>
      <c r="B86" s="23">
        <f t="shared" si="8"/>
        <v>1.24177</v>
      </c>
      <c r="C86" s="23">
        <f t="shared" si="9"/>
        <v>7.7349000000000001E-2</v>
      </c>
      <c r="D86" s="23">
        <f t="shared" si="10"/>
        <v>0.143819</v>
      </c>
      <c r="E86" s="23">
        <f t="shared" si="0"/>
        <v>0</v>
      </c>
      <c r="F86" s="23">
        <f t="shared" si="1"/>
        <v>108.24719999999999</v>
      </c>
      <c r="H86" s="24">
        <f t="shared" si="2"/>
        <v>11175.930000000002</v>
      </c>
      <c r="I86" s="24">
        <f t="shared" si="3"/>
        <v>1304.7348000000002</v>
      </c>
      <c r="K86" s="24">
        <f t="shared" si="4"/>
        <v>22351.860000000004</v>
      </c>
      <c r="L86" s="24">
        <f t="shared" si="5"/>
        <v>5587.9650000000011</v>
      </c>
      <c r="M86" s="24">
        <f t="shared" si="6"/>
        <v>2501.2224000000001</v>
      </c>
      <c r="N86" s="24">
        <f t="shared" si="7"/>
        <v>706.4910000000001</v>
      </c>
    </row>
    <row r="87" spans="1:14" x14ac:dyDescent="0.25">
      <c r="A87" s="9">
        <v>2031</v>
      </c>
      <c r="B87" s="23">
        <f t="shared" si="8"/>
        <v>1.24177</v>
      </c>
      <c r="C87" s="23">
        <f t="shared" si="9"/>
        <v>7.7349000000000001E-2</v>
      </c>
      <c r="D87" s="23">
        <f t="shared" si="10"/>
        <v>0.143819</v>
      </c>
      <c r="E87" s="23">
        <f t="shared" si="0"/>
        <v>0</v>
      </c>
      <c r="F87" s="23">
        <f t="shared" si="1"/>
        <v>108.24719999999999</v>
      </c>
      <c r="H87" s="24">
        <f t="shared" si="2"/>
        <v>11175.930000000002</v>
      </c>
      <c r="I87" s="24">
        <f t="shared" si="3"/>
        <v>1304.7348000000002</v>
      </c>
      <c r="K87" s="24">
        <f t="shared" si="4"/>
        <v>22351.860000000004</v>
      </c>
      <c r="L87" s="24">
        <f t="shared" si="5"/>
        <v>5587.9650000000011</v>
      </c>
      <c r="M87" s="24">
        <f t="shared" si="6"/>
        <v>2501.2224000000001</v>
      </c>
      <c r="N87" s="24">
        <f t="shared" si="7"/>
        <v>706.4910000000001</v>
      </c>
    </row>
    <row r="88" spans="1:14" x14ac:dyDescent="0.25">
      <c r="A88" s="9">
        <v>2032</v>
      </c>
      <c r="B88" s="23">
        <f t="shared" si="8"/>
        <v>1.24177</v>
      </c>
      <c r="C88" s="23">
        <f t="shared" si="9"/>
        <v>7.7349000000000001E-2</v>
      </c>
      <c r="D88" s="23">
        <f t="shared" si="10"/>
        <v>0.143819</v>
      </c>
      <c r="E88" s="23">
        <f t="shared" si="0"/>
        <v>0</v>
      </c>
      <c r="F88" s="23">
        <f t="shared" si="1"/>
        <v>108.24719999999999</v>
      </c>
      <c r="H88" s="24">
        <f t="shared" si="2"/>
        <v>11175.930000000002</v>
      </c>
      <c r="I88" s="24">
        <f t="shared" si="3"/>
        <v>1304.7348000000002</v>
      </c>
      <c r="K88" s="24">
        <f t="shared" si="4"/>
        <v>22351.860000000004</v>
      </c>
      <c r="L88" s="24">
        <f t="shared" si="5"/>
        <v>5587.9650000000011</v>
      </c>
      <c r="M88" s="24">
        <f t="shared" si="6"/>
        <v>2501.2224000000001</v>
      </c>
      <c r="N88" s="24">
        <f t="shared" si="7"/>
        <v>706.4910000000001</v>
      </c>
    </row>
    <row r="89" spans="1:14" x14ac:dyDescent="0.25">
      <c r="A89" s="9">
        <v>2033</v>
      </c>
      <c r="B89" s="23">
        <f t="shared" si="8"/>
        <v>1.24177</v>
      </c>
      <c r="C89" s="23">
        <f t="shared" si="9"/>
        <v>7.7349000000000001E-2</v>
      </c>
      <c r="D89" s="23">
        <f t="shared" si="10"/>
        <v>0.143819</v>
      </c>
      <c r="E89" s="23">
        <f t="shared" si="0"/>
        <v>0</v>
      </c>
      <c r="F89" s="23">
        <f t="shared" si="1"/>
        <v>108.24719999999999</v>
      </c>
      <c r="H89" s="24">
        <f t="shared" si="2"/>
        <v>11175.930000000002</v>
      </c>
      <c r="I89" s="24">
        <f t="shared" si="3"/>
        <v>1304.7348000000002</v>
      </c>
      <c r="K89" s="24">
        <f t="shared" si="4"/>
        <v>22351.860000000004</v>
      </c>
      <c r="L89" s="24">
        <f t="shared" si="5"/>
        <v>5587.9650000000011</v>
      </c>
      <c r="M89" s="24">
        <f t="shared" si="6"/>
        <v>2501.2224000000001</v>
      </c>
      <c r="N89" s="24">
        <f t="shared" si="7"/>
        <v>706.4910000000001</v>
      </c>
    </row>
    <row r="90" spans="1:14" x14ac:dyDescent="0.25">
      <c r="A90" s="9">
        <v>2034</v>
      </c>
      <c r="B90" s="23">
        <f t="shared" si="8"/>
        <v>1.24177</v>
      </c>
      <c r="C90" s="23">
        <f t="shared" si="9"/>
        <v>7.7349000000000001E-2</v>
      </c>
      <c r="D90" s="23">
        <f t="shared" si="10"/>
        <v>0.143819</v>
      </c>
      <c r="E90" s="23">
        <f t="shared" si="0"/>
        <v>0</v>
      </c>
      <c r="F90" s="23">
        <f t="shared" si="1"/>
        <v>108.24719999999999</v>
      </c>
      <c r="H90" s="24">
        <f t="shared" si="2"/>
        <v>11175.930000000002</v>
      </c>
      <c r="I90" s="24">
        <f t="shared" si="3"/>
        <v>1304.7348000000002</v>
      </c>
      <c r="K90" s="24">
        <f t="shared" si="4"/>
        <v>22351.860000000004</v>
      </c>
      <c r="L90" s="24">
        <f t="shared" si="5"/>
        <v>5587.9650000000011</v>
      </c>
      <c r="M90" s="24">
        <f t="shared" si="6"/>
        <v>2501.2224000000001</v>
      </c>
      <c r="N90" s="24">
        <f t="shared" si="7"/>
        <v>706.4910000000001</v>
      </c>
    </row>
    <row r="91" spans="1:14" x14ac:dyDescent="0.25">
      <c r="A91" s="9">
        <v>2035</v>
      </c>
      <c r="B91" s="23">
        <f t="shared" si="8"/>
        <v>1.24177</v>
      </c>
      <c r="C91" s="23">
        <f t="shared" si="9"/>
        <v>7.7349000000000001E-2</v>
      </c>
      <c r="D91" s="23">
        <f t="shared" si="10"/>
        <v>0.143819</v>
      </c>
      <c r="E91" s="23">
        <f t="shared" si="0"/>
        <v>0</v>
      </c>
      <c r="F91" s="23">
        <f t="shared" si="1"/>
        <v>108.24719999999999</v>
      </c>
      <c r="H91" s="24">
        <f t="shared" si="2"/>
        <v>11175.930000000002</v>
      </c>
      <c r="I91" s="24">
        <f t="shared" si="3"/>
        <v>1304.7348000000002</v>
      </c>
      <c r="K91" s="24">
        <f t="shared" si="4"/>
        <v>22351.860000000004</v>
      </c>
      <c r="L91" s="24">
        <f t="shared" si="5"/>
        <v>5587.9650000000011</v>
      </c>
      <c r="M91" s="24">
        <f t="shared" si="6"/>
        <v>2501.2224000000001</v>
      </c>
      <c r="N91" s="24">
        <f t="shared" si="7"/>
        <v>706.4910000000001</v>
      </c>
    </row>
    <row r="92" spans="1:14" x14ac:dyDescent="0.25">
      <c r="A92" s="9">
        <v>2036</v>
      </c>
      <c r="B92" s="23">
        <f t="shared" si="8"/>
        <v>1.24177</v>
      </c>
      <c r="C92" s="23">
        <f t="shared" si="9"/>
        <v>7.7349000000000001E-2</v>
      </c>
      <c r="D92" s="23">
        <f t="shared" si="10"/>
        <v>0.143819</v>
      </c>
      <c r="E92" s="23">
        <f t="shared" si="0"/>
        <v>0</v>
      </c>
      <c r="F92" s="23">
        <f t="shared" si="1"/>
        <v>108.24719999999999</v>
      </c>
      <c r="H92" s="24">
        <f t="shared" si="2"/>
        <v>11175.930000000002</v>
      </c>
      <c r="I92" s="24">
        <f t="shared" si="3"/>
        <v>1304.7348000000002</v>
      </c>
      <c r="K92" s="24">
        <f t="shared" si="4"/>
        <v>22351.860000000004</v>
      </c>
      <c r="L92" s="24">
        <f t="shared" si="5"/>
        <v>5587.9650000000011</v>
      </c>
      <c r="M92" s="24">
        <f t="shared" si="6"/>
        <v>2501.2224000000001</v>
      </c>
      <c r="N92" s="24">
        <f t="shared" si="7"/>
        <v>706.4910000000001</v>
      </c>
    </row>
    <row r="93" spans="1:14" x14ac:dyDescent="0.25">
      <c r="A93" s="9">
        <v>2037</v>
      </c>
      <c r="B93" s="23">
        <f t="shared" si="8"/>
        <v>1.24177</v>
      </c>
      <c r="C93" s="23">
        <f t="shared" si="9"/>
        <v>7.7349000000000001E-2</v>
      </c>
      <c r="D93" s="23">
        <f t="shared" si="10"/>
        <v>0.143819</v>
      </c>
      <c r="E93" s="23">
        <f t="shared" si="0"/>
        <v>0</v>
      </c>
      <c r="F93" s="23">
        <f t="shared" si="1"/>
        <v>108.24719999999999</v>
      </c>
      <c r="H93" s="24">
        <f t="shared" si="2"/>
        <v>11175.930000000002</v>
      </c>
      <c r="I93" s="24">
        <f t="shared" si="3"/>
        <v>1304.7348000000002</v>
      </c>
      <c r="K93" s="24">
        <f t="shared" si="4"/>
        <v>22351.860000000004</v>
      </c>
      <c r="L93" s="24">
        <f t="shared" si="5"/>
        <v>5587.9650000000011</v>
      </c>
      <c r="M93" s="24">
        <f t="shared" si="6"/>
        <v>2501.2224000000001</v>
      </c>
      <c r="N93" s="24">
        <f t="shared" si="7"/>
        <v>706.4910000000001</v>
      </c>
    </row>
    <row r="94" spans="1:14" x14ac:dyDescent="0.25">
      <c r="A94" s="9">
        <v>2038</v>
      </c>
      <c r="B94" s="23">
        <f t="shared" si="8"/>
        <v>1.24177</v>
      </c>
      <c r="C94" s="23">
        <f t="shared" si="9"/>
        <v>7.7349000000000001E-2</v>
      </c>
      <c r="D94" s="23">
        <f t="shared" si="10"/>
        <v>0.143819</v>
      </c>
      <c r="E94" s="23">
        <f t="shared" si="0"/>
        <v>0</v>
      </c>
      <c r="F94" s="23">
        <f t="shared" si="1"/>
        <v>108.24719999999999</v>
      </c>
      <c r="H94" s="24">
        <f t="shared" si="2"/>
        <v>11175.930000000002</v>
      </c>
      <c r="I94" s="24">
        <f t="shared" si="3"/>
        <v>1304.7348000000002</v>
      </c>
      <c r="K94" s="24">
        <f t="shared" si="4"/>
        <v>22351.860000000004</v>
      </c>
      <c r="L94" s="24">
        <f t="shared" si="5"/>
        <v>5587.9650000000011</v>
      </c>
      <c r="M94" s="24">
        <f t="shared" si="6"/>
        <v>2501.2224000000001</v>
      </c>
      <c r="N94" s="24">
        <f t="shared" si="7"/>
        <v>706.4910000000001</v>
      </c>
    </row>
    <row r="95" spans="1:14" x14ac:dyDescent="0.25">
      <c r="A95" s="9">
        <v>2039</v>
      </c>
      <c r="B95" s="23">
        <f t="shared" si="8"/>
        <v>1.24177</v>
      </c>
      <c r="C95" s="23">
        <f t="shared" si="9"/>
        <v>7.7349000000000001E-2</v>
      </c>
      <c r="D95" s="23">
        <f t="shared" si="10"/>
        <v>0.143819</v>
      </c>
      <c r="E95" s="23">
        <f t="shared" si="0"/>
        <v>0</v>
      </c>
      <c r="F95" s="23">
        <f t="shared" si="1"/>
        <v>108.24719999999999</v>
      </c>
      <c r="H95" s="24">
        <f t="shared" si="2"/>
        <v>11175.930000000002</v>
      </c>
      <c r="I95" s="24">
        <f t="shared" si="3"/>
        <v>1304.7348000000002</v>
      </c>
      <c r="K95" s="24">
        <f t="shared" si="4"/>
        <v>22351.860000000004</v>
      </c>
      <c r="L95" s="24">
        <f t="shared" si="5"/>
        <v>5587.9650000000011</v>
      </c>
      <c r="M95" s="24">
        <f t="shared" si="6"/>
        <v>2501.2224000000001</v>
      </c>
      <c r="N95" s="24">
        <f t="shared" si="7"/>
        <v>706.4910000000001</v>
      </c>
    </row>
    <row r="96" spans="1:14" x14ac:dyDescent="0.25">
      <c r="A96" s="9">
        <v>2040</v>
      </c>
      <c r="B96" s="23">
        <f t="shared" si="8"/>
        <v>1.24177</v>
      </c>
      <c r="C96" s="23">
        <f t="shared" si="9"/>
        <v>7.7349000000000001E-2</v>
      </c>
      <c r="D96" s="23">
        <f t="shared" si="10"/>
        <v>0.143819</v>
      </c>
      <c r="E96" s="23">
        <f t="shared" si="0"/>
        <v>0</v>
      </c>
      <c r="F96" s="23">
        <f t="shared" si="1"/>
        <v>108.24719999999999</v>
      </c>
      <c r="H96" s="24">
        <f t="shared" si="2"/>
        <v>11175.930000000002</v>
      </c>
      <c r="I96" s="24">
        <f t="shared" si="3"/>
        <v>1304.7348000000002</v>
      </c>
      <c r="K96" s="24">
        <f t="shared" si="4"/>
        <v>22351.860000000004</v>
      </c>
      <c r="L96" s="24">
        <f t="shared" si="5"/>
        <v>5587.9650000000011</v>
      </c>
      <c r="M96" s="24">
        <f t="shared" si="6"/>
        <v>2501.2224000000001</v>
      </c>
      <c r="N96" s="24">
        <f t="shared" si="7"/>
        <v>706.4910000000001</v>
      </c>
    </row>
    <row r="97" spans="1:14" x14ac:dyDescent="0.25">
      <c r="A97" s="9">
        <v>2041</v>
      </c>
      <c r="B97" s="23">
        <f t="shared" si="8"/>
        <v>1.24177</v>
      </c>
      <c r="C97" s="23">
        <f t="shared" si="9"/>
        <v>7.7349000000000001E-2</v>
      </c>
      <c r="D97" s="23">
        <f t="shared" si="10"/>
        <v>0.143819</v>
      </c>
      <c r="E97" s="23">
        <f t="shared" si="0"/>
        <v>0</v>
      </c>
      <c r="F97" s="23">
        <f t="shared" si="1"/>
        <v>108.24719999999999</v>
      </c>
      <c r="H97" s="24">
        <f t="shared" si="2"/>
        <v>11175.930000000002</v>
      </c>
      <c r="I97" s="24">
        <f t="shared" si="3"/>
        <v>1304.7348000000002</v>
      </c>
      <c r="K97" s="24">
        <f t="shared" si="4"/>
        <v>22351.860000000004</v>
      </c>
      <c r="L97" s="24">
        <f t="shared" si="5"/>
        <v>5587.9650000000011</v>
      </c>
      <c r="M97" s="24">
        <f t="shared" si="6"/>
        <v>2501.2224000000001</v>
      </c>
      <c r="N97" s="24">
        <f t="shared" si="7"/>
        <v>706.4910000000001</v>
      </c>
    </row>
    <row r="98" spans="1:14" x14ac:dyDescent="0.25">
      <c r="A98" s="9">
        <v>2042</v>
      </c>
      <c r="B98" s="23">
        <f t="shared" si="8"/>
        <v>1.24177</v>
      </c>
      <c r="C98" s="23">
        <f t="shared" si="9"/>
        <v>7.7349000000000001E-2</v>
      </c>
      <c r="D98" s="23">
        <f t="shared" si="10"/>
        <v>0.143819</v>
      </c>
      <c r="E98" s="23">
        <f t="shared" si="0"/>
        <v>0</v>
      </c>
      <c r="F98" s="23">
        <f t="shared" si="1"/>
        <v>108.24719999999999</v>
      </c>
      <c r="H98" s="24">
        <f t="shared" si="2"/>
        <v>11175.930000000002</v>
      </c>
      <c r="I98" s="24">
        <f t="shared" si="3"/>
        <v>1304.7348000000002</v>
      </c>
      <c r="K98" s="24">
        <f t="shared" si="4"/>
        <v>22351.860000000004</v>
      </c>
      <c r="L98" s="24">
        <f t="shared" si="5"/>
        <v>5587.9650000000011</v>
      </c>
      <c r="M98" s="24">
        <f t="shared" si="6"/>
        <v>2501.2224000000001</v>
      </c>
      <c r="N98" s="24">
        <f t="shared" si="7"/>
        <v>706.4910000000001</v>
      </c>
    </row>
    <row r="99" spans="1:14" x14ac:dyDescent="0.25">
      <c r="A99" s="9">
        <v>2043</v>
      </c>
      <c r="B99" s="23">
        <f t="shared" si="8"/>
        <v>1.24177</v>
      </c>
      <c r="C99" s="23">
        <f t="shared" si="9"/>
        <v>7.7349000000000001E-2</v>
      </c>
      <c r="D99" s="23">
        <f t="shared" si="10"/>
        <v>0.143819</v>
      </c>
      <c r="E99" s="23">
        <f t="shared" si="0"/>
        <v>0</v>
      </c>
      <c r="F99" s="23">
        <f t="shared" si="1"/>
        <v>108.24719999999999</v>
      </c>
      <c r="H99" s="24">
        <f t="shared" si="2"/>
        <v>11175.930000000002</v>
      </c>
      <c r="I99" s="24">
        <f t="shared" si="3"/>
        <v>1304.7348000000002</v>
      </c>
      <c r="K99" s="24">
        <f t="shared" si="4"/>
        <v>22351.860000000004</v>
      </c>
      <c r="L99" s="24">
        <f t="shared" si="5"/>
        <v>5587.9650000000011</v>
      </c>
      <c r="M99" s="24">
        <f t="shared" si="6"/>
        <v>2501.2224000000001</v>
      </c>
      <c r="N99" s="24">
        <f t="shared" si="7"/>
        <v>706.4910000000001</v>
      </c>
    </row>
    <row r="100" spans="1:14" x14ac:dyDescent="0.25">
      <c r="A100" s="9">
        <v>2044</v>
      </c>
      <c r="B100" s="23">
        <f t="shared" si="8"/>
        <v>1.24177</v>
      </c>
      <c r="C100" s="23">
        <f t="shared" si="9"/>
        <v>7.7349000000000001E-2</v>
      </c>
      <c r="D100" s="23">
        <f t="shared" si="10"/>
        <v>0.143819</v>
      </c>
      <c r="E100" s="23">
        <f t="shared" si="0"/>
        <v>0</v>
      </c>
      <c r="F100" s="23">
        <f t="shared" si="1"/>
        <v>108.24719999999999</v>
      </c>
      <c r="H100" s="24">
        <f t="shared" si="2"/>
        <v>11175.930000000002</v>
      </c>
      <c r="I100" s="24">
        <f t="shared" si="3"/>
        <v>1304.7348000000002</v>
      </c>
      <c r="K100" s="24">
        <f t="shared" si="4"/>
        <v>22351.860000000004</v>
      </c>
      <c r="L100" s="24">
        <f t="shared" si="5"/>
        <v>5587.9650000000011</v>
      </c>
      <c r="M100" s="24">
        <f t="shared" si="6"/>
        <v>2501.2224000000001</v>
      </c>
      <c r="N100" s="24">
        <f t="shared" si="7"/>
        <v>706.4910000000001</v>
      </c>
    </row>
    <row r="101" spans="1:14" x14ac:dyDescent="0.25">
      <c r="A101" s="9">
        <v>2045</v>
      </c>
      <c r="B101" s="23">
        <f t="shared" si="8"/>
        <v>1.24177</v>
      </c>
      <c r="C101" s="23">
        <f t="shared" si="9"/>
        <v>7.7349000000000001E-2</v>
      </c>
      <c r="D101" s="23">
        <f t="shared" si="10"/>
        <v>0.143819</v>
      </c>
      <c r="E101" s="23">
        <f t="shared" si="0"/>
        <v>0</v>
      </c>
      <c r="F101" s="23">
        <f t="shared" si="1"/>
        <v>108.24719999999999</v>
      </c>
      <c r="H101" s="24">
        <f t="shared" si="2"/>
        <v>11175.930000000002</v>
      </c>
      <c r="I101" s="24">
        <f t="shared" si="3"/>
        <v>1304.7348000000002</v>
      </c>
      <c r="K101" s="24">
        <f t="shared" si="4"/>
        <v>22351.860000000004</v>
      </c>
      <c r="L101" s="24">
        <f t="shared" si="5"/>
        <v>5587.9650000000011</v>
      </c>
      <c r="M101" s="24">
        <f t="shared" si="6"/>
        <v>2501.2224000000001</v>
      </c>
      <c r="N101" s="24">
        <f t="shared" si="7"/>
        <v>706.4910000000001</v>
      </c>
    </row>
    <row r="102" spans="1:14" x14ac:dyDescent="0.25">
      <c r="A102" s="9">
        <v>2046</v>
      </c>
      <c r="B102" s="23">
        <f t="shared" si="8"/>
        <v>1.24177</v>
      </c>
      <c r="C102" s="23">
        <f t="shared" si="9"/>
        <v>7.7349000000000001E-2</v>
      </c>
      <c r="D102" s="23">
        <f t="shared" si="10"/>
        <v>0.143819</v>
      </c>
      <c r="E102" s="23">
        <f t="shared" si="0"/>
        <v>0</v>
      </c>
      <c r="F102" s="23">
        <f t="shared" si="1"/>
        <v>108.24719999999999</v>
      </c>
      <c r="H102" s="24">
        <f t="shared" si="2"/>
        <v>11175.930000000002</v>
      </c>
      <c r="I102" s="24">
        <f t="shared" si="3"/>
        <v>1304.7348000000002</v>
      </c>
      <c r="K102" s="24">
        <f t="shared" si="4"/>
        <v>22351.860000000004</v>
      </c>
      <c r="L102" s="24">
        <f t="shared" si="5"/>
        <v>5587.9650000000011</v>
      </c>
      <c r="M102" s="24">
        <f t="shared" si="6"/>
        <v>2501.2224000000001</v>
      </c>
      <c r="N102" s="24">
        <f t="shared" si="7"/>
        <v>706.4910000000001</v>
      </c>
    </row>
    <row r="103" spans="1:14" x14ac:dyDescent="0.25">
      <c r="A103" s="9">
        <v>2047</v>
      </c>
      <c r="B103" s="23">
        <f t="shared" si="8"/>
        <v>1.24177</v>
      </c>
      <c r="C103" s="23">
        <f t="shared" si="9"/>
        <v>7.7349000000000001E-2</v>
      </c>
      <c r="D103" s="23">
        <f t="shared" si="10"/>
        <v>0.143819</v>
      </c>
      <c r="E103" s="23">
        <f t="shared" si="0"/>
        <v>0</v>
      </c>
      <c r="F103" s="23">
        <f t="shared" si="1"/>
        <v>108.24719999999999</v>
      </c>
      <c r="H103" s="24">
        <f t="shared" si="2"/>
        <v>11175.930000000002</v>
      </c>
      <c r="I103" s="24">
        <f t="shared" si="3"/>
        <v>1304.7348000000002</v>
      </c>
      <c r="K103" s="24">
        <f t="shared" si="4"/>
        <v>22351.860000000004</v>
      </c>
      <c r="L103" s="24">
        <f t="shared" si="5"/>
        <v>5587.9650000000011</v>
      </c>
      <c r="M103" s="24">
        <f t="shared" si="6"/>
        <v>2501.2224000000001</v>
      </c>
      <c r="N103" s="24">
        <f t="shared" si="7"/>
        <v>706.4910000000001</v>
      </c>
    </row>
    <row r="104" spans="1:14" x14ac:dyDescent="0.25">
      <c r="A104" s="9">
        <v>2048</v>
      </c>
      <c r="B104" s="23">
        <f t="shared" si="8"/>
        <v>1.24177</v>
      </c>
      <c r="C104" s="23">
        <f t="shared" si="9"/>
        <v>7.7349000000000001E-2</v>
      </c>
      <c r="D104" s="23">
        <f t="shared" si="10"/>
        <v>0.143819</v>
      </c>
      <c r="E104" s="23">
        <f t="shared" si="0"/>
        <v>0</v>
      </c>
      <c r="F104" s="23">
        <f t="shared" si="1"/>
        <v>108.24719999999999</v>
      </c>
      <c r="H104" s="24">
        <f t="shared" si="2"/>
        <v>11175.930000000002</v>
      </c>
      <c r="I104" s="24">
        <f t="shared" si="3"/>
        <v>1304.7348000000002</v>
      </c>
      <c r="K104" s="24">
        <f t="shared" si="4"/>
        <v>22351.860000000004</v>
      </c>
      <c r="L104" s="24">
        <f t="shared" si="5"/>
        <v>5587.9650000000011</v>
      </c>
      <c r="M104" s="24">
        <f t="shared" si="6"/>
        <v>2501.2224000000001</v>
      </c>
      <c r="N104" s="24">
        <f t="shared" si="7"/>
        <v>706.4910000000001</v>
      </c>
    </row>
    <row r="106" spans="1:14" ht="15" x14ac:dyDescent="0.25">
      <c r="A106" s="8" t="s">
        <v>36</v>
      </c>
      <c r="B106" s="2" t="s">
        <v>107</v>
      </c>
      <c r="C106" s="22" t="s">
        <v>199</v>
      </c>
    </row>
    <row r="107" spans="1:14" ht="15" x14ac:dyDescent="0.25">
      <c r="B107" s="8" t="s">
        <v>83</v>
      </c>
      <c r="C107" s="96" t="s">
        <v>200</v>
      </c>
    </row>
    <row r="109" spans="1:14" x14ac:dyDescent="0.25">
      <c r="A109" s="230" t="s">
        <v>69</v>
      </c>
      <c r="B109" s="230"/>
      <c r="C109" s="230"/>
      <c r="D109" s="230"/>
      <c r="E109" s="230"/>
      <c r="F109" s="230"/>
    </row>
    <row r="110" spans="1:14" x14ac:dyDescent="0.25">
      <c r="A110" s="6" t="s">
        <v>105</v>
      </c>
    </row>
    <row r="111" spans="1:14" x14ac:dyDescent="0.25">
      <c r="A111" s="7" t="s">
        <v>33</v>
      </c>
      <c r="B111" s="7" t="s">
        <v>34</v>
      </c>
      <c r="C111" s="7" t="s">
        <v>35</v>
      </c>
      <c r="D111" s="7" t="s">
        <v>36</v>
      </c>
    </row>
    <row r="112" spans="1:14" x14ac:dyDescent="0.25">
      <c r="A112" s="9" t="s">
        <v>70</v>
      </c>
      <c r="B112" s="9" t="s">
        <v>5</v>
      </c>
      <c r="C112" s="19">
        <v>0.05</v>
      </c>
      <c r="D112" s="3"/>
    </row>
    <row r="113" spans="1:5" x14ac:dyDescent="0.25">
      <c r="A113" s="9" t="s">
        <v>113</v>
      </c>
      <c r="B113" s="9" t="s">
        <v>5</v>
      </c>
      <c r="C113" s="19">
        <f>23%</f>
        <v>0.23</v>
      </c>
      <c r="D113" s="3"/>
    </row>
    <row r="114" spans="1:5" x14ac:dyDescent="0.25">
      <c r="A114" s="9" t="s">
        <v>71</v>
      </c>
      <c r="B114" s="9" t="s">
        <v>5</v>
      </c>
      <c r="C114" s="20">
        <v>0.22</v>
      </c>
      <c r="D114" s="3"/>
    </row>
    <row r="115" spans="1:5" x14ac:dyDescent="0.25">
      <c r="A115" s="9" t="s">
        <v>103</v>
      </c>
      <c r="B115" s="9" t="s">
        <v>5</v>
      </c>
      <c r="C115" s="20">
        <v>0</v>
      </c>
      <c r="D115" s="3"/>
    </row>
    <row r="116" spans="1:5" ht="15" x14ac:dyDescent="0.25">
      <c r="A116" s="9" t="s">
        <v>72</v>
      </c>
      <c r="B116" s="9" t="s">
        <v>5</v>
      </c>
      <c r="C116" s="116">
        <v>2.2499999999999999E-2</v>
      </c>
      <c r="D116" s="3"/>
      <c r="E116" s="96"/>
    </row>
    <row r="117" spans="1:5" x14ac:dyDescent="0.25">
      <c r="A117" s="6" t="s">
        <v>106</v>
      </c>
    </row>
    <row r="118" spans="1:5" x14ac:dyDescent="0.25">
      <c r="A118" s="7" t="s">
        <v>33</v>
      </c>
      <c r="B118" s="7" t="s">
        <v>34</v>
      </c>
      <c r="C118" s="7" t="s">
        <v>35</v>
      </c>
      <c r="D118" s="7" t="s">
        <v>36</v>
      </c>
    </row>
    <row r="119" spans="1:5" x14ac:dyDescent="0.25">
      <c r="A119" s="9" t="s">
        <v>70</v>
      </c>
      <c r="B119" s="9" t="s">
        <v>5</v>
      </c>
      <c r="C119" s="19">
        <f>5%</f>
        <v>0.05</v>
      </c>
      <c r="D119" s="3"/>
    </row>
    <row r="120" spans="1:5" x14ac:dyDescent="0.25">
      <c r="A120" s="9" t="s">
        <v>113</v>
      </c>
      <c r="B120" s="9" t="s">
        <v>5</v>
      </c>
      <c r="C120" s="19">
        <v>0</v>
      </c>
      <c r="D120" s="3"/>
    </row>
    <row r="121" spans="1:5" x14ac:dyDescent="0.25">
      <c r="A121" s="9" t="s">
        <v>71</v>
      </c>
      <c r="B121" s="9" t="s">
        <v>5</v>
      </c>
      <c r="C121" s="20">
        <v>0.22</v>
      </c>
      <c r="D121" s="3"/>
    </row>
    <row r="122" spans="1:5" x14ac:dyDescent="0.25">
      <c r="A122" s="9" t="s">
        <v>103</v>
      </c>
      <c r="B122" s="9" t="s">
        <v>5</v>
      </c>
      <c r="C122" s="20">
        <v>0</v>
      </c>
      <c r="D122" s="3"/>
    </row>
    <row r="123" spans="1:5" x14ac:dyDescent="0.25">
      <c r="A123" s="9" t="s">
        <v>72</v>
      </c>
      <c r="B123" s="9" t="s">
        <v>5</v>
      </c>
      <c r="C123" s="116">
        <v>2.2499999999999999E-2</v>
      </c>
      <c r="D123" s="3"/>
    </row>
    <row r="126" spans="1:5" ht="15" x14ac:dyDescent="0.25">
      <c r="A126" s="121" t="s">
        <v>130</v>
      </c>
      <c r="B126" s="96"/>
    </row>
    <row r="127" spans="1:5" x14ac:dyDescent="0.25">
      <c r="A127" s="9" t="s">
        <v>131</v>
      </c>
      <c r="B127" s="19">
        <v>0.35</v>
      </c>
    </row>
    <row r="130" spans="1:9" x14ac:dyDescent="0.25">
      <c r="A130" s="230" t="s">
        <v>132</v>
      </c>
      <c r="B130" s="230"/>
      <c r="C130" s="230"/>
      <c r="D130" s="230"/>
      <c r="E130" s="230"/>
      <c r="F130" s="230"/>
    </row>
    <row r="131" spans="1:9" x14ac:dyDescent="0.25">
      <c r="A131" s="7" t="s">
        <v>33</v>
      </c>
      <c r="B131" s="7" t="s">
        <v>34</v>
      </c>
      <c r="C131" s="7" t="s">
        <v>35</v>
      </c>
      <c r="D131" s="7" t="s">
        <v>36</v>
      </c>
    </row>
    <row r="132" spans="1:9" x14ac:dyDescent="0.25">
      <c r="A132" s="25" t="s">
        <v>19</v>
      </c>
      <c r="B132" s="9" t="s">
        <v>13</v>
      </c>
      <c r="C132" s="94">
        <v>218</v>
      </c>
      <c r="D132" s="26"/>
    </row>
    <row r="133" spans="1:9" x14ac:dyDescent="0.25">
      <c r="A133" s="25" t="s">
        <v>74</v>
      </c>
      <c r="B133" s="9" t="s">
        <v>12</v>
      </c>
      <c r="C133" s="27">
        <v>2.7600000000000003E-2</v>
      </c>
      <c r="D133" s="26"/>
      <c r="F133" s="229" t="s">
        <v>100</v>
      </c>
      <c r="G133" s="229"/>
      <c r="H133" s="229"/>
      <c r="I133" s="229"/>
    </row>
    <row r="134" spans="1:9" x14ac:dyDescent="0.25">
      <c r="A134" s="25" t="s">
        <v>75</v>
      </c>
      <c r="B134" s="9" t="s">
        <v>14</v>
      </c>
      <c r="C134" s="27">
        <v>40</v>
      </c>
      <c r="D134" s="26"/>
      <c r="F134" s="122" t="s">
        <v>121</v>
      </c>
      <c r="G134" s="122" t="s">
        <v>122</v>
      </c>
      <c r="H134" s="122" t="s">
        <v>121</v>
      </c>
      <c r="I134" s="122" t="s">
        <v>122</v>
      </c>
    </row>
    <row r="135" spans="1:9" x14ac:dyDescent="0.25">
      <c r="F135" s="7" t="s">
        <v>20</v>
      </c>
      <c r="G135" s="7" t="s">
        <v>20</v>
      </c>
      <c r="H135" s="7" t="s">
        <v>22</v>
      </c>
      <c r="I135" s="7" t="s">
        <v>22</v>
      </c>
    </row>
    <row r="136" spans="1:9" x14ac:dyDescent="0.25">
      <c r="A136" s="25" t="s">
        <v>76</v>
      </c>
      <c r="B136" s="9" t="s">
        <v>18</v>
      </c>
      <c r="C136" s="43">
        <f>C132*C38/(10^6)</f>
        <v>52.32</v>
      </c>
      <c r="D136" s="26"/>
      <c r="F136" s="9" t="s">
        <v>1</v>
      </c>
      <c r="G136" s="9" t="s">
        <v>1</v>
      </c>
      <c r="H136" s="9" t="s">
        <v>1</v>
      </c>
      <c r="I136" s="9" t="s">
        <v>1</v>
      </c>
    </row>
    <row r="137" spans="1:9" x14ac:dyDescent="0.25">
      <c r="A137" s="25" t="s">
        <v>77</v>
      </c>
      <c r="B137" s="9" t="s">
        <v>18</v>
      </c>
      <c r="C137" s="43">
        <f>C133*C39*C17/1000</f>
        <v>2.9145600000000003</v>
      </c>
      <c r="D137" s="26"/>
      <c r="F137" s="24">
        <f>C132*H38/(10^6)*$C$134</f>
        <v>4185.6000000000004</v>
      </c>
      <c r="G137" s="24">
        <f>C132*I38/(10^6)*$C$134</f>
        <v>1046.4000000000001</v>
      </c>
      <c r="H137" s="24">
        <f>C133*H39*C17/1000*$C$134</f>
        <v>233.16480000000001</v>
      </c>
      <c r="I137" s="24">
        <f>C133*I39*C17/1000*$C$134</f>
        <v>58.291200000000003</v>
      </c>
    </row>
    <row r="138" spans="1:9" x14ac:dyDescent="0.25">
      <c r="A138" s="25" t="s">
        <v>78</v>
      </c>
      <c r="B138" s="9" t="s">
        <v>1</v>
      </c>
      <c r="C138" s="44">
        <f>C136*$C$134</f>
        <v>2092.8000000000002</v>
      </c>
      <c r="D138" s="26"/>
    </row>
    <row r="139" spans="1:9" x14ac:dyDescent="0.25">
      <c r="A139" s="25" t="s">
        <v>79</v>
      </c>
      <c r="B139" s="9" t="s">
        <v>1</v>
      </c>
      <c r="C139" s="44">
        <f>C137*$C$134</f>
        <v>116.58240000000001</v>
      </c>
      <c r="D139" s="26"/>
    </row>
  </sheetData>
  <mergeCells count="15">
    <mergeCell ref="K72:N72"/>
    <mergeCell ref="F133:I133"/>
    <mergeCell ref="A130:F130"/>
    <mergeCell ref="A1:F1"/>
    <mergeCell ref="A3:F3"/>
    <mergeCell ref="A45:F45"/>
    <mergeCell ref="A109:F109"/>
    <mergeCell ref="A34:D34"/>
    <mergeCell ref="E34:I34"/>
    <mergeCell ref="D24:D25"/>
    <mergeCell ref="H12:I12"/>
    <mergeCell ref="H11:I11"/>
    <mergeCell ref="A56:H56"/>
    <mergeCell ref="B59:C59"/>
    <mergeCell ref="D59:E59"/>
  </mergeCells>
  <dataValidations count="2">
    <dataValidation showInputMessage="1" showErrorMessage="1" sqref="C6:C8 C13:C17 C37:C43 C22:C25 C48:C52 C112:C116 H37:I42 H5:I6 I9 C119:C123 C30:C31" xr:uid="{028A789C-13FC-4BA8-BD35-406333530ABA}"/>
    <dataValidation showInputMessage="1" showErrorMessage="1" errorTitle="Error" error="Debe elegir un modelo" promptTitle="Seleccionar" sqref="D19 D119:D123 D48:D49 J6 D37:D43 D13:D17 D22:D24 D112:D116 D6:D8 D30:D31" xr:uid="{192A9A90-5B5C-45E1-8D25-5967310D923C}"/>
  </dataValidations>
  <hyperlinks>
    <hyperlink ref="D52" r:id="rId1" xr:uid="{4C6CDBA4-B655-4E8C-B7B6-23DEE7E9BA6A}"/>
    <hyperlink ref="N6" r:id="rId2" xr:uid="{DFACC7CE-2D0E-4901-8E65-20C6F8297735}"/>
    <hyperlink ref="N7" r:id="rId3" xr:uid="{3ABDFA1F-9EE1-4D7E-8B5D-D8993EAB1F40}"/>
    <hyperlink ref="N8" r:id="rId4" location=":~:text=Subsidio%20para%20el%20recambio%20de,Administraci%C3%B3n%20del%20Transporte%20(Ejido%201290)" xr:uid="{CE0A8FDA-7F46-4E39-A14A-E0D36096AC0E}"/>
    <hyperlink ref="E30" r:id="rId5" xr:uid="{FCC6167F-7CD4-453E-8F99-73A206338CF4}"/>
    <hyperlink ref="E31" r:id="rId6" xr:uid="{B5BAF881-0EA7-4349-ADB4-5BE0B2514E0C}"/>
    <hyperlink ref="C106" r:id="rId7" display="Ancap 2021 " xr:uid="{FBF00C5C-C8CC-49ED-8198-F453ACBA17FF}"/>
    <hyperlink ref="C107" r:id="rId8" xr:uid="{944D9276-0D87-4504-9651-94CAD12A0997}"/>
    <hyperlink ref="E14" r:id="rId9" xr:uid="{7317AA74-7BAB-4DC0-80FB-036A94D6BA9A}"/>
    <hyperlink ref="E15" r:id="rId10" xr:uid="{6F3CB7BB-F2A8-484C-9ACA-F82BFF4D408C}"/>
    <hyperlink ref="E16" r:id="rId11" xr:uid="{6FCA6DC3-46CF-4C45-AC56-F260DA4F05BA}"/>
    <hyperlink ref="E17" r:id="rId12" xr:uid="{B54FB1C2-E403-41FF-9C3E-7596B0ED7185}"/>
  </hyperlinks>
  <pageMargins left="0.7" right="0.7" top="0.75" bottom="0.75" header="0.3" footer="0.3"/>
  <pageSetup orientation="portrait" r:id="rId13"/>
  <ignoredErrors>
    <ignoredError sqref="I6" formula="1"/>
  </ignoredErrors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8291-33C1-4B73-8647-D0837977D21A}">
  <dimension ref="A1:K159"/>
  <sheetViews>
    <sheetView zoomScaleNormal="100" workbookViewId="0">
      <selection sqref="A1:F1"/>
    </sheetView>
  </sheetViews>
  <sheetFormatPr baseColWidth="10" defaultColWidth="10.85546875" defaultRowHeight="13.5" x14ac:dyDescent="0.25"/>
  <cols>
    <col min="1" max="1" width="21" style="4" customWidth="1"/>
    <col min="2" max="2" width="32.42578125" style="4" customWidth="1"/>
    <col min="3" max="4" width="16" style="4" customWidth="1"/>
    <col min="5" max="5" width="19.28515625" style="4" bestFit="1" customWidth="1"/>
    <col min="6" max="10" width="16" style="4" customWidth="1"/>
    <col min="11" max="11" width="30.42578125" style="4" bestFit="1" customWidth="1"/>
    <col min="12" max="15" width="13.28515625" style="4" customWidth="1"/>
    <col min="16" max="16384" width="10.85546875" style="4"/>
  </cols>
  <sheetData>
    <row r="1" spans="1:8" ht="12.6" customHeight="1" x14ac:dyDescent="0.25">
      <c r="A1" s="241" t="s">
        <v>85</v>
      </c>
      <c r="B1" s="241"/>
      <c r="C1" s="241"/>
      <c r="D1" s="241"/>
      <c r="E1" s="241"/>
      <c r="F1" s="241"/>
      <c r="G1" s="59"/>
      <c r="H1" s="59"/>
    </row>
    <row r="2" spans="1:8" x14ac:dyDescent="0.25">
      <c r="C2" s="110" t="s">
        <v>158</v>
      </c>
      <c r="D2" s="110" t="s">
        <v>86</v>
      </c>
      <c r="E2" s="111" t="s">
        <v>104</v>
      </c>
      <c r="F2" s="111" t="s">
        <v>86</v>
      </c>
      <c r="G2" s="57"/>
      <c r="H2" s="57"/>
    </row>
    <row r="3" spans="1:8" x14ac:dyDescent="0.25">
      <c r="B3" s="67"/>
      <c r="C3" s="76"/>
      <c r="E3" s="76"/>
      <c r="F3" s="31"/>
      <c r="G3" s="31"/>
      <c r="H3" s="106"/>
    </row>
    <row r="4" spans="1:8" x14ac:dyDescent="0.25">
      <c r="A4" s="238" t="s">
        <v>15</v>
      </c>
      <c r="B4" s="29" t="s">
        <v>144</v>
      </c>
      <c r="C4" s="36">
        <f>Parametros!$C$6</f>
        <v>110000</v>
      </c>
      <c r="D4" s="49">
        <f ca="1">C4/(SUM($C$4:$C$13))</f>
        <v>0.33308050992582705</v>
      </c>
      <c r="E4" s="37">
        <f>Parametros!$C$13</f>
        <v>150000</v>
      </c>
      <c r="F4" s="66">
        <f ca="1">E4/(SUM($E$4:$E$13))</f>
        <v>0.51090814656324968</v>
      </c>
      <c r="G4" s="58"/>
      <c r="H4" s="107"/>
    </row>
    <row r="5" spans="1:8" x14ac:dyDescent="0.25">
      <c r="A5" s="240"/>
      <c r="B5" s="112" t="s">
        <v>82</v>
      </c>
      <c r="C5" s="32">
        <v>0</v>
      </c>
      <c r="D5" s="47">
        <f ca="1">C5/(SUM($C$4:$C$13))</f>
        <v>0</v>
      </c>
      <c r="E5" s="33">
        <f>Parametros!C22</f>
        <v>2000</v>
      </c>
      <c r="F5" s="66">
        <f ca="1">E5/(SUM($E$4:$E$13))</f>
        <v>6.8121086208433289E-3</v>
      </c>
      <c r="G5" s="58"/>
      <c r="H5" s="107"/>
    </row>
    <row r="6" spans="1:8" x14ac:dyDescent="0.25">
      <c r="A6" s="238" t="s">
        <v>16</v>
      </c>
      <c r="B6" s="29" t="s">
        <v>119</v>
      </c>
      <c r="C6" s="36">
        <f>Parametros!$C$112*C4</f>
        <v>5500</v>
      </c>
      <c r="D6" s="49">
        <f ca="1">C6/(SUM($C$4:$C$13))</f>
        <v>1.6654025496291355E-2</v>
      </c>
      <c r="E6" s="37">
        <f>Parametros!$C$119*E4</f>
        <v>7500</v>
      </c>
      <c r="F6" s="66">
        <f ca="1">E6/(SUM($E$4:$E$13))</f>
        <v>2.5545407328162482E-2</v>
      </c>
      <c r="G6" s="58"/>
      <c r="H6" s="107"/>
    </row>
    <row r="7" spans="1:8" x14ac:dyDescent="0.25">
      <c r="A7" s="239"/>
      <c r="B7" s="119" t="s">
        <v>113</v>
      </c>
      <c r="C7" s="32">
        <f>Parametros!$C$113*C4</f>
        <v>25300</v>
      </c>
      <c r="D7" s="47">
        <f t="shared" ref="D7:D11" ca="1" si="0">C7/(SUM($C$4:$C$13))</f>
        <v>7.6608517282940228E-2</v>
      </c>
      <c r="E7" s="33">
        <v>0</v>
      </c>
      <c r="F7" s="66">
        <f t="shared" ref="F7:F13" ca="1" si="1">E7/(SUM($E$4:$E$13))</f>
        <v>0</v>
      </c>
      <c r="G7" s="58"/>
      <c r="H7" s="107"/>
    </row>
    <row r="8" spans="1:8" x14ac:dyDescent="0.25">
      <c r="A8" s="239"/>
      <c r="B8" s="112" t="s">
        <v>71</v>
      </c>
      <c r="C8" s="32">
        <f>Parametros!$C$114*C4</f>
        <v>24200</v>
      </c>
      <c r="D8" s="47">
        <f t="shared" ca="1" si="0"/>
        <v>7.3277712183681953E-2</v>
      </c>
      <c r="E8" s="33">
        <f>Parametros!$C$121*E4</f>
        <v>33000</v>
      </c>
      <c r="F8" s="66">
        <f t="shared" ca="1" si="1"/>
        <v>0.11239979224391493</v>
      </c>
      <c r="G8" s="58"/>
      <c r="H8" s="107"/>
    </row>
    <row r="9" spans="1:8" x14ac:dyDescent="0.25">
      <c r="A9" s="239"/>
      <c r="B9" s="112" t="s">
        <v>103</v>
      </c>
      <c r="C9" s="32">
        <v>0</v>
      </c>
      <c r="D9" s="47">
        <f t="shared" ca="1" si="0"/>
        <v>0</v>
      </c>
      <c r="E9" s="33">
        <v>0</v>
      </c>
      <c r="F9" s="66">
        <f t="shared" ca="1" si="1"/>
        <v>0</v>
      </c>
      <c r="G9" s="58"/>
      <c r="H9" s="107"/>
    </row>
    <row r="10" spans="1:8" x14ac:dyDescent="0.25">
      <c r="A10" s="239"/>
      <c r="B10" s="112" t="s">
        <v>114</v>
      </c>
      <c r="C10" s="32">
        <f>Parametros!$C$116*C4*Parametros!$C$7</f>
        <v>19800</v>
      </c>
      <c r="D10" s="47">
        <f t="shared" ca="1" si="0"/>
        <v>5.995449178664887E-2</v>
      </c>
      <c r="E10" s="33">
        <f>Parametros!$C$123*E4*Parametros!$C$15</f>
        <v>27000</v>
      </c>
      <c r="F10" s="66">
        <f t="shared" ca="1" si="1"/>
        <v>9.1963466381384945E-2</v>
      </c>
      <c r="G10" s="58"/>
      <c r="H10" s="107"/>
    </row>
    <row r="11" spans="1:8" x14ac:dyDescent="0.25">
      <c r="A11" s="239"/>
      <c r="B11" s="30" t="s">
        <v>87</v>
      </c>
      <c r="C11" s="32">
        <f>-PMT(Parametros!$C$50,Parametros!$C$49,Parametros!$C$48*(C4+C6+C7+C8+C9))*Parametros!$C$49-(C4+C6+C7+C8+C9)*Parametros!$C$48</f>
        <v>36843.045158965469</v>
      </c>
      <c r="D11" s="47">
        <f t="shared" ca="1" si="0"/>
        <v>0.11156091153425902</v>
      </c>
      <c r="E11" s="33">
        <f>-PMT(Parametros!$C$51,Parametros!$C$49,Parametros!$C$48*(E4+E6+E7+E8+E9))*Parametros!$C$49-(E4+E6+E7+E8+E9)*Parametros!$C$48</f>
        <v>42536.9703198965</v>
      </c>
      <c r="F11" s="66">
        <f t="shared" ca="1" si="1"/>
        <v>0.14488323111036189</v>
      </c>
      <c r="G11" s="58"/>
      <c r="H11" s="107"/>
    </row>
    <row r="12" spans="1:8" x14ac:dyDescent="0.25">
      <c r="A12" s="238" t="s">
        <v>17</v>
      </c>
      <c r="B12" s="112" t="s">
        <v>40</v>
      </c>
      <c r="C12" s="36">
        <f>(Parametros!$C$9)*Parametros!$C$38</f>
        <v>19200</v>
      </c>
      <c r="D12" s="49">
        <f ca="1">C12/(SUM($C$4:$C$13))</f>
        <v>5.813768900523527E-2</v>
      </c>
      <c r="E12" s="37">
        <f>Parametros!$C$39*(+Parametros!$C$18)</f>
        <v>21120.000000000004</v>
      </c>
      <c r="F12" s="66">
        <f t="shared" ca="1" si="1"/>
        <v>7.1935867036105564E-2</v>
      </c>
      <c r="G12" s="58"/>
      <c r="H12" s="107"/>
    </row>
    <row r="13" spans="1:8" x14ac:dyDescent="0.25">
      <c r="A13" s="240"/>
      <c r="B13" s="30" t="s">
        <v>88</v>
      </c>
      <c r="C13" s="34">
        <f ca="1">SUM(Parametros!$H$76:OFFSET(Parametros!$H$76,Parametros!$C$7-1,0))</f>
        <v>89407.440000000031</v>
      </c>
      <c r="D13" s="48">
        <f ca="1">C13/(SUM($C$4:$C$13))</f>
        <v>0.27072614278511636</v>
      </c>
      <c r="E13" s="35">
        <f ca="1">SUM(Parametros!$I$76:OFFSET(Parametros!$I$76,Parametros!$C$15-1,0))</f>
        <v>10437.878400000001</v>
      </c>
      <c r="F13" s="66">
        <f t="shared" ca="1" si="1"/>
        <v>3.5551980715977191E-2</v>
      </c>
      <c r="G13" s="58"/>
      <c r="H13" s="107"/>
    </row>
    <row r="14" spans="1:8" x14ac:dyDescent="0.25">
      <c r="A14" s="238" t="s">
        <v>135</v>
      </c>
      <c r="B14" s="29" t="s">
        <v>136</v>
      </c>
      <c r="C14" s="36"/>
      <c r="D14" s="49"/>
      <c r="E14" s="37">
        <f>(E4+E5+E6+E7+E8+E9)*Parametros!$B$127</f>
        <v>67375</v>
      </c>
      <c r="F14" s="66"/>
      <c r="G14" s="58"/>
      <c r="H14" s="107"/>
    </row>
    <row r="15" spans="1:8" x14ac:dyDescent="0.25">
      <c r="A15" s="239"/>
      <c r="B15" s="112" t="s">
        <v>137</v>
      </c>
      <c r="C15" s="123">
        <f>C4</f>
        <v>110000</v>
      </c>
      <c r="D15" s="124"/>
      <c r="E15" s="125">
        <f>E4-E14</f>
        <v>82625</v>
      </c>
      <c r="F15" s="126"/>
      <c r="G15" s="58"/>
    </row>
    <row r="16" spans="1:8" x14ac:dyDescent="0.25">
      <c r="A16" s="75"/>
      <c r="B16" s="67" t="s">
        <v>21</v>
      </c>
      <c r="C16" s="68">
        <f ca="1">SUM(C4:C13)</f>
        <v>330250.48515896546</v>
      </c>
      <c r="D16" s="62" t="s">
        <v>1</v>
      </c>
      <c r="E16" s="68">
        <f ca="1">SUM(E4:E13)-E14</f>
        <v>226219.84871989652</v>
      </c>
      <c r="F16" s="62" t="s">
        <v>1</v>
      </c>
      <c r="G16" s="58"/>
    </row>
    <row r="17" spans="1:8" x14ac:dyDescent="0.25">
      <c r="A17" s="75"/>
      <c r="B17" s="67"/>
      <c r="C17" s="68">
        <f ca="1">C16/Parametros!$C$7</f>
        <v>41281.310644870682</v>
      </c>
      <c r="D17" s="62" t="s">
        <v>73</v>
      </c>
      <c r="E17" s="68">
        <f ca="1">E16/Parametros!$C$15</f>
        <v>28277.481089987064</v>
      </c>
      <c r="F17" s="62" t="s">
        <v>73</v>
      </c>
      <c r="G17" s="58"/>
    </row>
    <row r="18" spans="1:8" x14ac:dyDescent="0.25">
      <c r="A18" s="69" t="s">
        <v>89</v>
      </c>
      <c r="B18" s="70" t="s">
        <v>90</v>
      </c>
      <c r="C18" s="71">
        <f>Parametros!C138</f>
        <v>2092.8000000000002</v>
      </c>
      <c r="D18" s="72"/>
      <c r="E18" s="73">
        <f>Parametros!C139</f>
        <v>116.58240000000001</v>
      </c>
      <c r="F18" s="74"/>
      <c r="G18" s="58"/>
    </row>
    <row r="19" spans="1:8" x14ac:dyDescent="0.25">
      <c r="B19" s="67" t="s">
        <v>21</v>
      </c>
      <c r="C19" s="68">
        <f ca="1">C16+C18</f>
        <v>332343.28515896545</v>
      </c>
      <c r="D19" s="62"/>
      <c r="E19" s="68">
        <f ca="1">E18+E16</f>
        <v>226336.43111989653</v>
      </c>
      <c r="F19" s="62"/>
      <c r="G19" s="31"/>
    </row>
    <row r="20" spans="1:8" x14ac:dyDescent="0.25">
      <c r="B20" s="67"/>
      <c r="C20" s="68">
        <f ca="1">C19/Parametros!$C$7</f>
        <v>41542.910644870681</v>
      </c>
      <c r="D20" s="62" t="s">
        <v>73</v>
      </c>
      <c r="E20" s="68">
        <f ca="1">E19/Parametros!$C$15</f>
        <v>28292.053889987066</v>
      </c>
      <c r="F20" s="62" t="s">
        <v>73</v>
      </c>
      <c r="G20" s="31"/>
    </row>
    <row r="21" spans="1:8" ht="16.5" x14ac:dyDescent="0.3">
      <c r="A21" s="242" t="s">
        <v>91</v>
      </c>
      <c r="B21" s="242"/>
      <c r="C21" s="120">
        <f ca="1">C16</f>
        <v>330250.48515896546</v>
      </c>
      <c r="D21" s="39"/>
      <c r="E21" s="50">
        <f ca="1">E16</f>
        <v>226219.84871989652</v>
      </c>
      <c r="F21" s="40"/>
      <c r="G21" s="60"/>
    </row>
    <row r="22" spans="1:8" ht="16.5" x14ac:dyDescent="0.3">
      <c r="A22" s="242" t="s">
        <v>92</v>
      </c>
      <c r="B22" s="242"/>
      <c r="C22" s="105">
        <f ca="1">C21/Parametros!C38</f>
        <v>1.3760436881623561</v>
      </c>
      <c r="D22" s="39"/>
      <c r="E22" s="109">
        <f ca="1">E21/Parametros!C39</f>
        <v>0.94258270299956881</v>
      </c>
      <c r="F22" s="40"/>
      <c r="G22" s="60">
        <f ca="1">E22/C22-1</f>
        <v>-0.31500524939121288</v>
      </c>
      <c r="H22" s="60"/>
    </row>
    <row r="23" spans="1:8" ht="16.5" x14ac:dyDescent="0.3">
      <c r="A23" s="242" t="s">
        <v>93</v>
      </c>
      <c r="B23" s="242"/>
      <c r="C23" s="41"/>
      <c r="D23" s="41"/>
      <c r="E23" s="40"/>
      <c r="F23" s="42"/>
      <c r="G23" s="61"/>
      <c r="H23" s="61"/>
    </row>
    <row r="24" spans="1:8" x14ac:dyDescent="0.25">
      <c r="G24" s="31"/>
      <c r="H24" s="31"/>
    </row>
    <row r="25" spans="1:8" ht="16.5" x14ac:dyDescent="0.3">
      <c r="A25" s="242" t="s">
        <v>94</v>
      </c>
      <c r="B25" s="242"/>
      <c r="C25" s="120">
        <f ca="1">C19</f>
        <v>332343.28515896545</v>
      </c>
      <c r="D25" s="39"/>
      <c r="E25" s="50">
        <f ca="1">E19</f>
        <v>226336.43111989653</v>
      </c>
      <c r="F25" s="40"/>
      <c r="G25" s="60"/>
      <c r="H25" s="60"/>
    </row>
    <row r="26" spans="1:8" ht="16.5" x14ac:dyDescent="0.3">
      <c r="A26" s="242" t="s">
        <v>95</v>
      </c>
      <c r="B26" s="242"/>
      <c r="C26" s="105">
        <f ca="1">C25/Parametros!C38</f>
        <v>1.384763688162356</v>
      </c>
      <c r="D26" s="39"/>
      <c r="E26" s="109">
        <f ca="1">E25/Parametros!C39</f>
        <v>0.94306846299956892</v>
      </c>
      <c r="F26" s="40"/>
      <c r="G26" s="61">
        <f ca="1">C26-E26</f>
        <v>0.44169522516278703</v>
      </c>
      <c r="H26" s="60"/>
    </row>
    <row r="27" spans="1:8" ht="16.5" x14ac:dyDescent="0.3">
      <c r="A27" s="242" t="s">
        <v>93</v>
      </c>
      <c r="B27" s="242"/>
      <c r="C27" s="41"/>
      <c r="D27" s="41"/>
      <c r="E27" s="40"/>
      <c r="F27" s="42"/>
      <c r="G27" s="61"/>
      <c r="H27" s="61"/>
    </row>
    <row r="29" spans="1:8" ht="16.5" x14ac:dyDescent="0.3">
      <c r="A29" s="242" t="s">
        <v>96</v>
      </c>
      <c r="B29" s="242"/>
      <c r="C29" s="38">
        <v>0</v>
      </c>
      <c r="D29" s="39"/>
      <c r="E29" s="97">
        <v>0</v>
      </c>
      <c r="F29" s="40"/>
    </row>
    <row r="30" spans="1:8" ht="16.5" x14ac:dyDescent="0.3">
      <c r="A30" s="242" t="s">
        <v>97</v>
      </c>
      <c r="B30" s="242"/>
      <c r="C30" s="98">
        <v>0</v>
      </c>
      <c r="D30" s="99"/>
      <c r="E30" s="97">
        <f>(Parametros!$C$113-Parametros!$C$120)*E4</f>
        <v>34500</v>
      </c>
      <c r="F30" s="100"/>
    </row>
    <row r="34" spans="1:8" x14ac:dyDescent="0.25">
      <c r="A34" s="241" t="s">
        <v>98</v>
      </c>
      <c r="B34" s="241"/>
      <c r="C34" s="241"/>
      <c r="D34" s="241"/>
      <c r="E34" s="241"/>
      <c r="F34" s="241"/>
      <c r="G34" s="59"/>
      <c r="H34" s="59"/>
    </row>
    <row r="35" spans="1:8" x14ac:dyDescent="0.25">
      <c r="C35" s="110" t="s">
        <v>158</v>
      </c>
      <c r="D35" s="111" t="s">
        <v>104</v>
      </c>
    </row>
    <row r="36" spans="1:8" ht="14.25" thickBot="1" x14ac:dyDescent="0.3">
      <c r="B36" s="28"/>
      <c r="C36" s="31"/>
      <c r="D36" s="31"/>
      <c r="E36" s="7">
        <v>2021</v>
      </c>
      <c r="F36" s="7" t="s">
        <v>20</v>
      </c>
      <c r="G36" s="7" t="s">
        <v>22</v>
      </c>
      <c r="H36" s="7" t="s">
        <v>109</v>
      </c>
    </row>
    <row r="37" spans="1:8" x14ac:dyDescent="0.25">
      <c r="A37" s="238" t="s">
        <v>15</v>
      </c>
      <c r="B37" s="29" t="s">
        <v>145</v>
      </c>
      <c r="C37" s="52">
        <f>C15/Parametros!$C$38</f>
        <v>0.45833333333333331</v>
      </c>
      <c r="D37" s="80">
        <f>E15/Parametros!$C$39</f>
        <v>0.34427083333333336</v>
      </c>
      <c r="E37" s="25" t="s">
        <v>133</v>
      </c>
      <c r="F37" s="62">
        <f>SUM(C4:C5)+SUM(C6)</f>
        <v>115500</v>
      </c>
      <c r="G37" s="62">
        <f>SUM(E4:E5)+SUM(E6)</f>
        <v>159500</v>
      </c>
      <c r="H37" s="88">
        <f>G37/F37</f>
        <v>1.3809523809523809</v>
      </c>
    </row>
    <row r="38" spans="1:8" x14ac:dyDescent="0.25">
      <c r="A38" s="239"/>
      <c r="B38" s="112" t="s">
        <v>146</v>
      </c>
      <c r="C38" s="53">
        <f>C4/Parametros!$C$38</f>
        <v>0.45833333333333331</v>
      </c>
      <c r="D38" s="81">
        <f>E4/Parametros!$C$39</f>
        <v>0.625</v>
      </c>
      <c r="E38" s="25" t="s">
        <v>134</v>
      </c>
      <c r="F38" s="62">
        <f>F37-F39</f>
        <v>80850</v>
      </c>
      <c r="G38" s="62">
        <f>G37-G39</f>
        <v>110250</v>
      </c>
      <c r="H38" s="88">
        <f>G38/F38</f>
        <v>1.3636363636363635</v>
      </c>
    </row>
    <row r="39" spans="1:8" x14ac:dyDescent="0.25">
      <c r="A39" s="240"/>
      <c r="B39" s="112" t="s">
        <v>82</v>
      </c>
      <c r="C39" s="53">
        <f>C5/Parametros!$C$38</f>
        <v>0</v>
      </c>
      <c r="D39" s="81">
        <f>E5/Parametros!$C$39</f>
        <v>8.3333333333333332E-3</v>
      </c>
      <c r="E39" s="25" t="s">
        <v>31</v>
      </c>
      <c r="F39" s="104">
        <f>(1-Parametros!$C$48)*(C4+C6)</f>
        <v>34650.000000000007</v>
      </c>
      <c r="G39" s="104">
        <f>(1-Parametros!$C$48)*(E4+E6)+E5</f>
        <v>49250.000000000007</v>
      </c>
      <c r="H39" s="88">
        <f>G39/F39</f>
        <v>1.4213564213564214</v>
      </c>
    </row>
    <row r="40" spans="1:8" x14ac:dyDescent="0.25">
      <c r="A40" s="238" t="s">
        <v>16</v>
      </c>
      <c r="B40" s="29" t="s">
        <v>119</v>
      </c>
      <c r="C40" s="55">
        <f>C6/Parametros!$C$38</f>
        <v>2.2916666666666665E-2</v>
      </c>
      <c r="D40" s="83">
        <f>E6/Parametros!$C$39</f>
        <v>3.125E-2</v>
      </c>
    </row>
    <row r="41" spans="1:8" x14ac:dyDescent="0.25">
      <c r="A41" s="239"/>
      <c r="B41" s="119" t="s">
        <v>113</v>
      </c>
      <c r="C41" s="53">
        <f>C7/Parametros!$C$38</f>
        <v>0.10541666666666667</v>
      </c>
      <c r="D41" s="81">
        <f>E7/Parametros!$C$39</f>
        <v>0</v>
      </c>
    </row>
    <row r="42" spans="1:8" x14ac:dyDescent="0.25">
      <c r="A42" s="239"/>
      <c r="B42" s="112" t="s">
        <v>71</v>
      </c>
      <c r="C42" s="53">
        <f>C8/Parametros!$C$38</f>
        <v>0.10083333333333333</v>
      </c>
      <c r="D42" s="81">
        <f>E8/Parametros!$C$39</f>
        <v>0.13750000000000001</v>
      </c>
    </row>
    <row r="43" spans="1:8" x14ac:dyDescent="0.25">
      <c r="A43" s="239"/>
      <c r="B43" s="112" t="s">
        <v>103</v>
      </c>
      <c r="C43" s="53">
        <f>C9/Parametros!$C$38</f>
        <v>0</v>
      </c>
      <c r="D43" s="81">
        <f>E9/Parametros!$C$39</f>
        <v>0</v>
      </c>
    </row>
    <row r="44" spans="1:8" x14ac:dyDescent="0.25">
      <c r="A44" s="239"/>
      <c r="B44" s="112" t="s">
        <v>114</v>
      </c>
      <c r="C44" s="53">
        <f>C10/Parametros!$C$38</f>
        <v>8.2500000000000004E-2</v>
      </c>
      <c r="D44" s="81">
        <f>E10/Parametros!$C$39</f>
        <v>0.1125</v>
      </c>
    </row>
    <row r="45" spans="1:8" x14ac:dyDescent="0.25">
      <c r="A45" s="239"/>
      <c r="B45" s="30" t="s">
        <v>87</v>
      </c>
      <c r="C45" s="54">
        <f>C11/Parametros!$C$38</f>
        <v>0.15351268816235611</v>
      </c>
      <c r="D45" s="82">
        <f>E11/Parametros!$C$39</f>
        <v>0.17723737633290207</v>
      </c>
    </row>
    <row r="46" spans="1:8" x14ac:dyDescent="0.25">
      <c r="A46" s="238" t="s">
        <v>17</v>
      </c>
      <c r="B46" s="112" t="s">
        <v>40</v>
      </c>
      <c r="C46" s="53">
        <f>C12/Parametros!$C$38</f>
        <v>0.08</v>
      </c>
      <c r="D46" s="81">
        <f>E12/Parametros!$C$39</f>
        <v>8.8000000000000009E-2</v>
      </c>
    </row>
    <row r="47" spans="1:8" ht="14.25" thickBot="1" x14ac:dyDescent="0.3">
      <c r="A47" s="240"/>
      <c r="B47" s="30" t="s">
        <v>88</v>
      </c>
      <c r="C47" s="56">
        <f ca="1">C13/Parametros!$C$38</f>
        <v>0.37253100000000011</v>
      </c>
      <c r="D47" s="84">
        <f ca="1">E13/Parametros!$C$39</f>
        <v>4.3491160000000008E-2</v>
      </c>
    </row>
    <row r="48" spans="1:8" x14ac:dyDescent="0.25">
      <c r="A48" s="69" t="s">
        <v>89</v>
      </c>
      <c r="B48" s="70" t="s">
        <v>90</v>
      </c>
      <c r="C48" s="53">
        <f>C18/Parametros!$C$38</f>
        <v>8.7200000000000003E-3</v>
      </c>
      <c r="D48" s="80">
        <f>E18/Parametros!$C$39</f>
        <v>4.8576000000000001E-4</v>
      </c>
    </row>
    <row r="91" spans="1:8" s="64" customFormat="1" x14ac:dyDescent="0.25">
      <c r="A91" s="65" t="s">
        <v>84</v>
      </c>
    </row>
    <row r="92" spans="1:8" x14ac:dyDescent="0.25">
      <c r="A92" s="241" t="s">
        <v>85</v>
      </c>
      <c r="B92" s="241"/>
      <c r="C92" s="241"/>
      <c r="D92" s="241"/>
      <c r="E92" s="241"/>
      <c r="F92" s="241"/>
      <c r="G92" s="59"/>
      <c r="H92" s="59"/>
    </row>
    <row r="93" spans="1:8" ht="27" x14ac:dyDescent="0.25">
      <c r="C93" s="110" t="s">
        <v>124</v>
      </c>
      <c r="D93" s="110" t="s">
        <v>125</v>
      </c>
      <c r="E93" s="111" t="s">
        <v>126</v>
      </c>
      <c r="F93" s="111" t="s">
        <v>127</v>
      </c>
      <c r="G93" s="57"/>
      <c r="H93" s="57"/>
    </row>
    <row r="94" spans="1:8" ht="14.25" thickBot="1" x14ac:dyDescent="0.3">
      <c r="B94" s="28"/>
      <c r="C94" s="31"/>
      <c r="D94" s="31"/>
      <c r="E94" s="31"/>
      <c r="F94" s="31"/>
      <c r="G94" s="31"/>
      <c r="H94" s="31"/>
    </row>
    <row r="95" spans="1:8" x14ac:dyDescent="0.25">
      <c r="A95" s="238" t="s">
        <v>15</v>
      </c>
      <c r="B95" s="29" t="s">
        <v>138</v>
      </c>
      <c r="C95" s="45">
        <f>C4</f>
        <v>110000</v>
      </c>
      <c r="D95" s="45">
        <f>C95</f>
        <v>110000</v>
      </c>
      <c r="E95" s="46">
        <f>E15</f>
        <v>82625</v>
      </c>
      <c r="F95" s="46">
        <f>E95</f>
        <v>82625</v>
      </c>
      <c r="G95" s="58"/>
      <c r="H95" s="58"/>
    </row>
    <row r="96" spans="1:8" x14ac:dyDescent="0.25">
      <c r="A96" s="239"/>
      <c r="B96" s="112" t="s">
        <v>146</v>
      </c>
      <c r="C96" s="32">
        <f t="shared" ref="C96:C103" si="2">C4</f>
        <v>110000</v>
      </c>
      <c r="D96" s="32">
        <f>C96</f>
        <v>110000</v>
      </c>
      <c r="E96" s="33">
        <f t="shared" ref="E96:E103" si="3">E4</f>
        <v>150000</v>
      </c>
      <c r="F96" s="33">
        <f>E96</f>
        <v>150000</v>
      </c>
      <c r="G96" s="58"/>
      <c r="H96" s="58"/>
    </row>
    <row r="97" spans="1:8" x14ac:dyDescent="0.25">
      <c r="A97" s="240"/>
      <c r="B97" s="112" t="s">
        <v>82</v>
      </c>
      <c r="C97" s="32">
        <f t="shared" si="2"/>
        <v>0</v>
      </c>
      <c r="D97" s="32">
        <f t="shared" ref="D97:D98" si="4">C97</f>
        <v>0</v>
      </c>
      <c r="E97" s="33">
        <f t="shared" si="3"/>
        <v>2000</v>
      </c>
      <c r="F97" s="33">
        <f>E97</f>
        <v>2000</v>
      </c>
      <c r="G97" s="58"/>
      <c r="H97" s="58"/>
    </row>
    <row r="98" spans="1:8" x14ac:dyDescent="0.25">
      <c r="A98" s="238" t="s">
        <v>16</v>
      </c>
      <c r="B98" s="29" t="s">
        <v>119</v>
      </c>
      <c r="C98" s="36">
        <f t="shared" si="2"/>
        <v>5500</v>
      </c>
      <c r="D98" s="36">
        <f t="shared" si="4"/>
        <v>5500</v>
      </c>
      <c r="E98" s="37">
        <f t="shared" si="3"/>
        <v>7500</v>
      </c>
      <c r="F98" s="77">
        <f t="shared" ref="F98" si="5">E98</f>
        <v>7500</v>
      </c>
      <c r="G98" s="58"/>
      <c r="H98" s="58"/>
    </row>
    <row r="99" spans="1:8" x14ac:dyDescent="0.25">
      <c r="A99" s="239"/>
      <c r="B99" s="119" t="s">
        <v>113</v>
      </c>
      <c r="C99" s="32">
        <f t="shared" si="2"/>
        <v>25300</v>
      </c>
      <c r="D99" s="32">
        <f t="shared" ref="D99:D103" si="6">C99</f>
        <v>25300</v>
      </c>
      <c r="E99" s="33">
        <f t="shared" si="3"/>
        <v>0</v>
      </c>
      <c r="F99" s="78">
        <f t="shared" ref="F99:F102" si="7">E99</f>
        <v>0</v>
      </c>
      <c r="G99" s="58"/>
      <c r="H99" s="58"/>
    </row>
    <row r="100" spans="1:8" x14ac:dyDescent="0.25">
      <c r="A100" s="239"/>
      <c r="B100" s="112" t="s">
        <v>71</v>
      </c>
      <c r="C100" s="32">
        <f t="shared" si="2"/>
        <v>24200</v>
      </c>
      <c r="D100" s="32">
        <f t="shared" si="6"/>
        <v>24200</v>
      </c>
      <c r="E100" s="33">
        <f t="shared" si="3"/>
        <v>33000</v>
      </c>
      <c r="F100" s="78">
        <f t="shared" si="7"/>
        <v>33000</v>
      </c>
      <c r="G100" s="58"/>
      <c r="H100" s="58"/>
    </row>
    <row r="101" spans="1:8" x14ac:dyDescent="0.25">
      <c r="A101" s="239"/>
      <c r="B101" s="112" t="s">
        <v>103</v>
      </c>
      <c r="C101" s="32">
        <f t="shared" si="2"/>
        <v>0</v>
      </c>
      <c r="D101" s="32">
        <f t="shared" si="6"/>
        <v>0</v>
      </c>
      <c r="E101" s="33">
        <f t="shared" si="3"/>
        <v>0</v>
      </c>
      <c r="F101" s="78">
        <f t="shared" si="7"/>
        <v>0</v>
      </c>
      <c r="G101" s="58"/>
      <c r="H101" s="58"/>
    </row>
    <row r="102" spans="1:8" x14ac:dyDescent="0.25">
      <c r="A102" s="239"/>
      <c r="B102" s="112" t="s">
        <v>114</v>
      </c>
      <c r="C102" s="32">
        <f t="shared" si="2"/>
        <v>19800</v>
      </c>
      <c r="D102" s="32">
        <f t="shared" si="6"/>
        <v>19800</v>
      </c>
      <c r="E102" s="33">
        <f t="shared" si="3"/>
        <v>27000</v>
      </c>
      <c r="F102" s="78">
        <f t="shared" si="7"/>
        <v>27000</v>
      </c>
      <c r="G102" s="58"/>
      <c r="H102" s="58"/>
    </row>
    <row r="103" spans="1:8" x14ac:dyDescent="0.25">
      <c r="A103" s="239"/>
      <c r="B103" s="30" t="s">
        <v>87</v>
      </c>
      <c r="C103" s="34">
        <f t="shared" si="2"/>
        <v>36843.045158965469</v>
      </c>
      <c r="D103" s="34">
        <f t="shared" si="6"/>
        <v>36843.045158965469</v>
      </c>
      <c r="E103" s="35">
        <f t="shared" si="3"/>
        <v>42536.9703198965</v>
      </c>
      <c r="F103" s="79">
        <f>E103</f>
        <v>42536.9703198965</v>
      </c>
      <c r="G103" s="58"/>
      <c r="H103" s="58"/>
    </row>
    <row r="104" spans="1:8" x14ac:dyDescent="0.25">
      <c r="A104" s="238" t="s">
        <v>17</v>
      </c>
      <c r="B104" s="112" t="s">
        <v>40</v>
      </c>
      <c r="C104" s="89">
        <f>(Parametros!$C$9)*Parametros!$H$38</f>
        <v>38400</v>
      </c>
      <c r="D104" s="89">
        <f>(Parametros!$C$9)*Parametros!$I$38</f>
        <v>9600</v>
      </c>
      <c r="E104" s="89">
        <f>Parametros!$H$39*(Parametros!$C$18)</f>
        <v>42240.000000000007</v>
      </c>
      <c r="F104" s="89">
        <f>Parametros!$I$39*(Parametros!$C$18)</f>
        <v>10560.000000000002</v>
      </c>
      <c r="G104" s="58"/>
      <c r="H104" s="58"/>
    </row>
    <row r="105" spans="1:8" x14ac:dyDescent="0.25">
      <c r="A105" s="240"/>
      <c r="B105" s="30" t="s">
        <v>88</v>
      </c>
      <c r="C105" s="95">
        <f ca="1">SUM(Parametros!$K$76:OFFSET(Parametros!$K$76,Parametros!$C$7-1,0))</f>
        <v>178814.88000000006</v>
      </c>
      <c r="D105" s="95">
        <f ca="1">SUM(Parametros!$L$76:OFFSET(Parametros!$L$76,Parametros!$C$7-1,0))</f>
        <v>44703.720000000016</v>
      </c>
      <c r="E105" s="95">
        <f ca="1">SUM(Parametros!$M$76:OFFSET(Parametros!$M$76,Parametros!$C$15-1,0))</f>
        <v>20009.779200000001</v>
      </c>
      <c r="F105" s="95">
        <f ca="1">SUM(Parametros!$N$76:OFFSET(Parametros!$N$76,Parametros!$C$15-1,0))</f>
        <v>5651.9280000000008</v>
      </c>
      <c r="G105" s="58"/>
      <c r="H105" s="58"/>
    </row>
    <row r="106" spans="1:8" x14ac:dyDescent="0.25">
      <c r="A106" s="69" t="s">
        <v>89</v>
      </c>
      <c r="B106" s="70" t="s">
        <v>90</v>
      </c>
      <c r="C106" s="89">
        <f>Parametros!F137</f>
        <v>4185.6000000000004</v>
      </c>
      <c r="D106" s="89">
        <f>Parametros!G137</f>
        <v>1046.4000000000001</v>
      </c>
      <c r="E106" s="89">
        <f>Parametros!H137</f>
        <v>233.16480000000001</v>
      </c>
      <c r="F106" s="90">
        <f>Parametros!I137</f>
        <v>58.291200000000003</v>
      </c>
      <c r="G106" s="58"/>
      <c r="H106" s="58"/>
    </row>
    <row r="107" spans="1:8" x14ac:dyDescent="0.25">
      <c r="C107" s="62"/>
      <c r="D107" s="62"/>
      <c r="E107" s="62"/>
      <c r="F107" s="62"/>
      <c r="G107" s="31"/>
      <c r="H107" s="31"/>
    </row>
    <row r="108" spans="1:8" ht="16.5" x14ac:dyDescent="0.3">
      <c r="A108" s="242" t="s">
        <v>91</v>
      </c>
      <c r="B108" s="242"/>
      <c r="C108" s="120">
        <f ca="1">SUM(C95,C97:C105)</f>
        <v>438857.92515896552</v>
      </c>
      <c r="D108" s="120">
        <f t="shared" ref="D108:F108" ca="1" si="8">SUM(D95,D97:D105)</f>
        <v>275946.76515896549</v>
      </c>
      <c r="E108" s="50">
        <f t="shared" ca="1" si="8"/>
        <v>256911.74951989649</v>
      </c>
      <c r="F108" s="50">
        <f t="shared" ca="1" si="8"/>
        <v>210873.89831989651</v>
      </c>
      <c r="G108" s="60"/>
      <c r="H108" s="60"/>
    </row>
    <row r="109" spans="1:8" ht="16.5" x14ac:dyDescent="0.3">
      <c r="A109" s="242" t="s">
        <v>92</v>
      </c>
      <c r="B109" s="242"/>
      <c r="C109" s="41">
        <f ca="1">C108/Parametros!$H$38</f>
        <v>0.91428734408117818</v>
      </c>
      <c r="D109" s="41">
        <f ca="1">D108/Parametros!$I$38</f>
        <v>2.2995563763247122</v>
      </c>
      <c r="E109" s="42">
        <f ca="1">E108/Parametros!$H$39</f>
        <v>0.5352328114997843</v>
      </c>
      <c r="F109" s="42">
        <f ca="1">F108/Parametros!$I$39</f>
        <v>1.7572824859991376</v>
      </c>
      <c r="G109" s="60"/>
      <c r="H109" s="60"/>
    </row>
    <row r="110" spans="1:8" ht="16.5" x14ac:dyDescent="0.3">
      <c r="A110" s="242" t="s">
        <v>93</v>
      </c>
      <c r="B110" s="242"/>
      <c r="C110" s="41"/>
      <c r="D110" s="41"/>
      <c r="E110" s="40"/>
      <c r="F110" s="42"/>
      <c r="G110" s="61"/>
      <c r="H110" s="61"/>
    </row>
    <row r="111" spans="1:8" x14ac:dyDescent="0.25">
      <c r="G111" s="31"/>
      <c r="H111" s="31"/>
    </row>
    <row r="112" spans="1:8" ht="16.5" x14ac:dyDescent="0.3">
      <c r="A112" s="242" t="s">
        <v>94</v>
      </c>
      <c r="B112" s="242"/>
      <c r="C112" s="120">
        <f ca="1">C108+C106</f>
        <v>443043.52515896549</v>
      </c>
      <c r="D112" s="120">
        <f t="shared" ref="D112:F112" ca="1" si="9">D108+D106</f>
        <v>276993.16515896551</v>
      </c>
      <c r="E112" s="50">
        <f t="shared" ca="1" si="9"/>
        <v>257144.91431989649</v>
      </c>
      <c r="F112" s="50">
        <f t="shared" ca="1" si="9"/>
        <v>210932.18951989652</v>
      </c>
      <c r="G112" s="60"/>
      <c r="H112" s="60"/>
    </row>
    <row r="113" spans="1:8" ht="16.5" x14ac:dyDescent="0.3">
      <c r="A113" s="242" t="s">
        <v>95</v>
      </c>
      <c r="B113" s="242"/>
      <c r="C113" s="41">
        <f ca="1">C112/Parametros!$H$38</f>
        <v>0.92300734408117813</v>
      </c>
      <c r="D113" s="41">
        <f ca="1">D112/Parametros!$I$38</f>
        <v>2.3082763763247125</v>
      </c>
      <c r="E113" s="42">
        <f ca="1">E112/Parametros!$H$39</f>
        <v>0.5357185714997843</v>
      </c>
      <c r="F113" s="42">
        <f ca="1">F112/Parametros!$I$39</f>
        <v>1.7577682459991377</v>
      </c>
      <c r="G113" s="60"/>
      <c r="H113" s="60"/>
    </row>
    <row r="114" spans="1:8" ht="16.5" x14ac:dyDescent="0.3">
      <c r="A114" s="242" t="s">
        <v>93</v>
      </c>
      <c r="B114" s="242"/>
      <c r="C114" s="41"/>
      <c r="D114" s="41"/>
      <c r="E114" s="40"/>
      <c r="F114" s="42"/>
      <c r="G114" s="61"/>
      <c r="H114" s="61"/>
    </row>
    <row r="116" spans="1:8" x14ac:dyDescent="0.25">
      <c r="A116" s="241" t="s">
        <v>98</v>
      </c>
      <c r="B116" s="241"/>
      <c r="C116" s="241"/>
      <c r="D116" s="241"/>
      <c r="E116" s="241"/>
      <c r="F116" s="241"/>
      <c r="G116" s="59"/>
      <c r="H116" s="59"/>
    </row>
    <row r="117" spans="1:8" ht="27" x14ac:dyDescent="0.25">
      <c r="C117" s="110" t="s">
        <v>128</v>
      </c>
      <c r="D117" s="110" t="s">
        <v>121</v>
      </c>
      <c r="E117" s="110" t="s">
        <v>122</v>
      </c>
      <c r="F117" s="111" t="s">
        <v>129</v>
      </c>
      <c r="G117" s="111" t="s">
        <v>121</v>
      </c>
      <c r="H117" s="111" t="s">
        <v>122</v>
      </c>
    </row>
    <row r="118" spans="1:8" ht="14.25" thickBot="1" x14ac:dyDescent="0.3">
      <c r="B118" s="28"/>
      <c r="C118" s="31"/>
      <c r="D118" s="31"/>
      <c r="E118" s="31"/>
      <c r="F118" s="31"/>
      <c r="G118" s="31"/>
      <c r="H118" s="31"/>
    </row>
    <row r="119" spans="1:8" x14ac:dyDescent="0.25">
      <c r="A119" s="238" t="s">
        <v>15</v>
      </c>
      <c r="B119" s="29" t="s">
        <v>145</v>
      </c>
      <c r="C119" s="52">
        <f t="shared" ref="C119:C130" si="10">C37</f>
        <v>0.45833333333333331</v>
      </c>
      <c r="D119" s="52">
        <f>C95/Parametros!$H$38</f>
        <v>0.22916666666666666</v>
      </c>
      <c r="E119" s="52">
        <f>D95/Parametros!$I$38</f>
        <v>0.91666666666666663</v>
      </c>
      <c r="F119" s="80">
        <f t="shared" ref="F119:F130" si="11">D37</f>
        <v>0.34427083333333336</v>
      </c>
      <c r="G119" s="80">
        <f>E95/Parametros!$H$39</f>
        <v>0.17213541666666668</v>
      </c>
      <c r="H119" s="80">
        <f>F95/Parametros!$I$39</f>
        <v>0.68854166666666672</v>
      </c>
    </row>
    <row r="120" spans="1:8" x14ac:dyDescent="0.25">
      <c r="A120" s="239"/>
      <c r="B120" s="112" t="s">
        <v>146</v>
      </c>
      <c r="C120" s="53">
        <f t="shared" si="10"/>
        <v>0.45833333333333331</v>
      </c>
      <c r="D120" s="53">
        <f>C96/Parametros!$H$38</f>
        <v>0.22916666666666666</v>
      </c>
      <c r="E120" s="53">
        <f>D96/Parametros!$I$38</f>
        <v>0.91666666666666663</v>
      </c>
      <c r="F120" s="81">
        <f t="shared" si="11"/>
        <v>0.625</v>
      </c>
      <c r="G120" s="81">
        <f>E96/Parametros!$H$39</f>
        <v>0.3125</v>
      </c>
      <c r="H120" s="81">
        <f>F96/Parametros!$I$39</f>
        <v>1.25</v>
      </c>
    </row>
    <row r="121" spans="1:8" x14ac:dyDescent="0.25">
      <c r="A121" s="240"/>
      <c r="B121" s="112" t="s">
        <v>82</v>
      </c>
      <c r="C121" s="53">
        <f t="shared" si="10"/>
        <v>0</v>
      </c>
      <c r="D121" s="53">
        <f>C97/Parametros!$H$38</f>
        <v>0</v>
      </c>
      <c r="E121" s="53">
        <f>D97/Parametros!$I$38</f>
        <v>0</v>
      </c>
      <c r="F121" s="81">
        <f t="shared" si="11"/>
        <v>8.3333333333333332E-3</v>
      </c>
      <c r="G121" s="81">
        <f>E97/Parametros!$H$39</f>
        <v>4.1666666666666666E-3</v>
      </c>
      <c r="H121" s="81">
        <f>F97/Parametros!$I$39</f>
        <v>1.6666666666666666E-2</v>
      </c>
    </row>
    <row r="122" spans="1:8" x14ac:dyDescent="0.25">
      <c r="A122" s="238" t="s">
        <v>16</v>
      </c>
      <c r="B122" s="29" t="s">
        <v>119</v>
      </c>
      <c r="C122" s="55">
        <f t="shared" si="10"/>
        <v>2.2916666666666665E-2</v>
      </c>
      <c r="D122" s="55">
        <f>C98/Parametros!$H$38</f>
        <v>1.1458333333333333E-2</v>
      </c>
      <c r="E122" s="55">
        <f>D98/Parametros!$I$38</f>
        <v>4.583333333333333E-2</v>
      </c>
      <c r="F122" s="83">
        <f t="shared" si="11"/>
        <v>3.125E-2</v>
      </c>
      <c r="G122" s="83">
        <f>E98/Parametros!$H$39</f>
        <v>1.5625E-2</v>
      </c>
      <c r="H122" s="83">
        <f>F98/Parametros!$I$39</f>
        <v>6.25E-2</v>
      </c>
    </row>
    <row r="123" spans="1:8" x14ac:dyDescent="0.25">
      <c r="A123" s="239"/>
      <c r="B123" s="119" t="s">
        <v>113</v>
      </c>
      <c r="C123" s="53">
        <f t="shared" si="10"/>
        <v>0.10541666666666667</v>
      </c>
      <c r="D123" s="53">
        <f>C99/Parametros!$H$38</f>
        <v>5.2708333333333336E-2</v>
      </c>
      <c r="E123" s="53">
        <f>D99/Parametros!$I$38</f>
        <v>0.21083333333333334</v>
      </c>
      <c r="F123" s="81">
        <f t="shared" si="11"/>
        <v>0</v>
      </c>
      <c r="G123" s="81">
        <f>E99/Parametros!$H$39</f>
        <v>0</v>
      </c>
      <c r="H123" s="81">
        <f>F99/Parametros!$I$39</f>
        <v>0</v>
      </c>
    </row>
    <row r="124" spans="1:8" x14ac:dyDescent="0.25">
      <c r="A124" s="239"/>
      <c r="B124" s="112" t="s">
        <v>71</v>
      </c>
      <c r="C124" s="53">
        <f t="shared" si="10"/>
        <v>0.10083333333333333</v>
      </c>
      <c r="D124" s="53">
        <f>C100/Parametros!$H$38</f>
        <v>5.0416666666666665E-2</v>
      </c>
      <c r="E124" s="53">
        <f>D100/Parametros!$I$38</f>
        <v>0.20166666666666666</v>
      </c>
      <c r="F124" s="81">
        <f t="shared" si="11"/>
        <v>0.13750000000000001</v>
      </c>
      <c r="G124" s="81">
        <f>E100/Parametros!$H$39</f>
        <v>6.8750000000000006E-2</v>
      </c>
      <c r="H124" s="81">
        <f>F100/Parametros!$I$39</f>
        <v>0.27500000000000002</v>
      </c>
    </row>
    <row r="125" spans="1:8" x14ac:dyDescent="0.25">
      <c r="A125" s="239"/>
      <c r="B125" s="112" t="s">
        <v>103</v>
      </c>
      <c r="C125" s="53">
        <f t="shared" si="10"/>
        <v>0</v>
      </c>
      <c r="D125" s="53">
        <f>C101/Parametros!$H$38</f>
        <v>0</v>
      </c>
      <c r="E125" s="53">
        <f>D101/Parametros!$I$38</f>
        <v>0</v>
      </c>
      <c r="F125" s="81">
        <f t="shared" si="11"/>
        <v>0</v>
      </c>
      <c r="G125" s="81">
        <f>E101/Parametros!$H$39</f>
        <v>0</v>
      </c>
      <c r="H125" s="81">
        <f>F101/Parametros!$I$39</f>
        <v>0</v>
      </c>
    </row>
    <row r="126" spans="1:8" x14ac:dyDescent="0.25">
      <c r="A126" s="239"/>
      <c r="B126" s="112" t="s">
        <v>114</v>
      </c>
      <c r="C126" s="53">
        <f t="shared" si="10"/>
        <v>8.2500000000000004E-2</v>
      </c>
      <c r="D126" s="53">
        <f>C102/Parametros!$H$38</f>
        <v>4.1250000000000002E-2</v>
      </c>
      <c r="E126" s="53">
        <f>D102/Parametros!$I$38</f>
        <v>0.16500000000000001</v>
      </c>
      <c r="F126" s="81">
        <f t="shared" si="11"/>
        <v>0.1125</v>
      </c>
      <c r="G126" s="81">
        <f>E102/Parametros!$H$39</f>
        <v>5.6250000000000001E-2</v>
      </c>
      <c r="H126" s="81">
        <f>F102/Parametros!$I$39</f>
        <v>0.22500000000000001</v>
      </c>
    </row>
    <row r="127" spans="1:8" x14ac:dyDescent="0.25">
      <c r="A127" s="239"/>
      <c r="B127" s="30" t="s">
        <v>87</v>
      </c>
      <c r="C127" s="54">
        <f t="shared" si="10"/>
        <v>0.15351268816235611</v>
      </c>
      <c r="D127" s="54">
        <f>C103/Parametros!$H$38</f>
        <v>7.6756344081178055E-2</v>
      </c>
      <c r="E127" s="54">
        <f>D103/Parametros!$I$38</f>
        <v>0.30702537632471222</v>
      </c>
      <c r="F127" s="82">
        <f t="shared" si="11"/>
        <v>0.17723737633290207</v>
      </c>
      <c r="G127" s="82">
        <f>E103/Parametros!$H$39</f>
        <v>8.8618688166451035E-2</v>
      </c>
      <c r="H127" s="82">
        <f>F103/Parametros!$I$39</f>
        <v>0.35447475266580414</v>
      </c>
    </row>
    <row r="128" spans="1:8" x14ac:dyDescent="0.25">
      <c r="A128" s="238" t="s">
        <v>17</v>
      </c>
      <c r="B128" s="112" t="s">
        <v>40</v>
      </c>
      <c r="C128" s="53">
        <f t="shared" si="10"/>
        <v>0.08</v>
      </c>
      <c r="D128" s="53">
        <f>C104/Parametros!$H$38</f>
        <v>0.08</v>
      </c>
      <c r="E128" s="53">
        <f>D104/Parametros!$I$38</f>
        <v>0.08</v>
      </c>
      <c r="F128" s="81">
        <f t="shared" si="11"/>
        <v>8.8000000000000009E-2</v>
      </c>
      <c r="G128" s="81">
        <f>E104/Parametros!$H$39</f>
        <v>8.8000000000000009E-2</v>
      </c>
      <c r="H128" s="81">
        <f>F104/Parametros!$I$39</f>
        <v>8.8000000000000009E-2</v>
      </c>
    </row>
    <row r="129" spans="1:11" ht="14.25" thickBot="1" x14ac:dyDescent="0.3">
      <c r="A129" s="240"/>
      <c r="B129" s="30" t="s">
        <v>88</v>
      </c>
      <c r="C129" s="56">
        <f t="shared" ca="1" si="10"/>
        <v>0.37253100000000011</v>
      </c>
      <c r="D129" s="56">
        <f ca="1">C105/Parametros!$H$38</f>
        <v>0.37253100000000011</v>
      </c>
      <c r="E129" s="56">
        <f ca="1">D105/Parametros!$I$38</f>
        <v>0.37253100000000011</v>
      </c>
      <c r="F129" s="84">
        <f t="shared" ca="1" si="11"/>
        <v>4.3491160000000008E-2</v>
      </c>
      <c r="G129" s="84">
        <f ca="1">E105/Parametros!$H$39</f>
        <v>4.1687040000000002E-2</v>
      </c>
      <c r="H129" s="84">
        <f ca="1">F105/Parametros!$I$39</f>
        <v>4.7099400000000007E-2</v>
      </c>
    </row>
    <row r="130" spans="1:11" x14ac:dyDescent="0.25">
      <c r="A130" s="69" t="s">
        <v>89</v>
      </c>
      <c r="B130" s="70" t="s">
        <v>90</v>
      </c>
      <c r="C130" s="53">
        <f t="shared" si="10"/>
        <v>8.7200000000000003E-3</v>
      </c>
      <c r="D130" s="53">
        <f>C106/Parametros!$H$38</f>
        <v>8.7200000000000003E-3</v>
      </c>
      <c r="E130" s="53">
        <f>D106/Parametros!$I$38</f>
        <v>8.7200000000000003E-3</v>
      </c>
      <c r="F130" s="81">
        <f t="shared" si="11"/>
        <v>4.8576000000000001E-4</v>
      </c>
      <c r="G130" s="81">
        <f>E106/Parametros!$H$39</f>
        <v>4.8576000000000001E-4</v>
      </c>
      <c r="H130" s="81">
        <f>F106/Parametros!$I$39</f>
        <v>4.8576000000000001E-4</v>
      </c>
    </row>
    <row r="131" spans="1:11" x14ac:dyDescent="0.25">
      <c r="B131" s="85" t="s">
        <v>147</v>
      </c>
      <c r="C131" s="86">
        <f ca="1">SUM(C119,C121:C130)</f>
        <v>1.3847636881623564</v>
      </c>
      <c r="D131" s="86">
        <f t="shared" ref="D131:H131" ca="1" si="12">SUM(D119,D121:D130)</f>
        <v>0.92300734408117802</v>
      </c>
      <c r="E131" s="86">
        <f t="shared" ca="1" si="12"/>
        <v>2.3082763763247121</v>
      </c>
      <c r="F131" s="86">
        <f t="shared" ca="1" si="12"/>
        <v>0.94306846299956881</v>
      </c>
      <c r="G131" s="86">
        <f ca="1">SUM(G119,G121:G130)</f>
        <v>0.53571857149978441</v>
      </c>
      <c r="H131" s="86">
        <f t="shared" ca="1" si="12"/>
        <v>1.7577682459991377</v>
      </c>
    </row>
    <row r="132" spans="1:11" x14ac:dyDescent="0.25">
      <c r="B132" s="85" t="s">
        <v>148</v>
      </c>
      <c r="C132" s="86">
        <f ca="1">SUM(C120:C130)</f>
        <v>1.3847636881623564</v>
      </c>
      <c r="D132" s="86">
        <f t="shared" ref="D132:H132" ca="1" si="13">SUM(D120:D130)</f>
        <v>0.92300734408117802</v>
      </c>
      <c r="E132" s="86">
        <f t="shared" ca="1" si="13"/>
        <v>2.3082763763247121</v>
      </c>
      <c r="F132" s="86">
        <f t="shared" ca="1" si="13"/>
        <v>1.2237976296662354</v>
      </c>
      <c r="G132" s="86">
        <f ca="1">SUM(G120:G130)</f>
        <v>0.67608315483311765</v>
      </c>
      <c r="H132" s="86">
        <f t="shared" ca="1" si="13"/>
        <v>2.3192265793324709</v>
      </c>
    </row>
    <row r="133" spans="1:11" x14ac:dyDescent="0.25">
      <c r="E133" s="87"/>
      <c r="F133" s="87"/>
    </row>
    <row r="134" spans="1:11" x14ac:dyDescent="0.25">
      <c r="B134" s="254" t="s">
        <v>149</v>
      </c>
      <c r="C134" s="254"/>
      <c r="D134" s="254"/>
      <c r="E134" s="87"/>
      <c r="F134" s="87"/>
    </row>
    <row r="135" spans="1:11" x14ac:dyDescent="0.25">
      <c r="C135" s="4" t="s">
        <v>123</v>
      </c>
      <c r="D135" s="4" t="s">
        <v>104</v>
      </c>
      <c r="E135" s="87"/>
      <c r="F135" s="87"/>
    </row>
    <row r="136" spans="1:11" x14ac:dyDescent="0.25">
      <c r="B136" s="87">
        <f>Parametros!I37</f>
        <v>15000</v>
      </c>
      <c r="C136" s="86">
        <f ca="1">E131</f>
        <v>2.3082763763247121</v>
      </c>
      <c r="D136" s="86">
        <f ca="1">H131</f>
        <v>1.7577682459991377</v>
      </c>
      <c r="E136" s="87"/>
      <c r="F136" s="87"/>
    </row>
    <row r="137" spans="1:11" x14ac:dyDescent="0.25">
      <c r="B137" s="108">
        <f>Parametros!C37</f>
        <v>30000</v>
      </c>
      <c r="C137" s="86">
        <f ca="1">C131</f>
        <v>1.3847636881623564</v>
      </c>
      <c r="D137" s="86">
        <f ca="1">F131</f>
        <v>0.94306846299956881</v>
      </c>
      <c r="E137" s="87"/>
      <c r="F137" s="87"/>
    </row>
    <row r="138" spans="1:11" x14ac:dyDescent="0.25">
      <c r="B138" s="87">
        <f>Parametros!H37</f>
        <v>60000</v>
      </c>
      <c r="C138" s="86">
        <f ca="1">D131</f>
        <v>0.92300734408117802</v>
      </c>
      <c r="D138" s="86">
        <f ca="1">G131</f>
        <v>0.53571857149978441</v>
      </c>
      <c r="E138" s="88"/>
      <c r="F138" s="88"/>
    </row>
    <row r="140" spans="1:11" x14ac:dyDescent="0.25">
      <c r="B140" s="87"/>
      <c r="C140" s="86"/>
      <c r="D140" s="86"/>
      <c r="E140" s="88"/>
      <c r="F140" s="88"/>
    </row>
    <row r="141" spans="1:11" x14ac:dyDescent="0.25">
      <c r="B141" s="87"/>
      <c r="C141" s="86"/>
      <c r="D141" s="86"/>
      <c r="E141" s="88"/>
      <c r="F141" s="88"/>
    </row>
    <row r="142" spans="1:11" x14ac:dyDescent="0.25">
      <c r="B142" s="87"/>
      <c r="C142" s="86"/>
      <c r="D142" s="86"/>
      <c r="E142" s="88"/>
      <c r="F142" s="88"/>
    </row>
    <row r="143" spans="1:11" x14ac:dyDescent="0.25">
      <c r="D143" s="86"/>
      <c r="J143" s="58"/>
      <c r="K143" s="58"/>
    </row>
    <row r="144" spans="1:11" x14ac:dyDescent="0.25">
      <c r="J144" s="58"/>
      <c r="K144" s="58"/>
    </row>
    <row r="145" spans="2:11" x14ac:dyDescent="0.25">
      <c r="J145" s="58"/>
      <c r="K145" s="58"/>
    </row>
    <row r="146" spans="2:11" x14ac:dyDescent="0.25">
      <c r="J146" s="31"/>
      <c r="K146" s="31"/>
    </row>
    <row r="147" spans="2:11" ht="16.5" x14ac:dyDescent="0.3">
      <c r="B147" s="254" t="s">
        <v>150</v>
      </c>
      <c r="C147" s="254"/>
      <c r="D147" s="254"/>
      <c r="E147" s="87"/>
      <c r="F147" s="87"/>
      <c r="J147" s="60"/>
      <c r="K147" s="60"/>
    </row>
    <row r="148" spans="2:11" ht="16.5" x14ac:dyDescent="0.3">
      <c r="C148" s="4" t="s">
        <v>123</v>
      </c>
      <c r="D148" s="111" t="s">
        <v>104</v>
      </c>
      <c r="J148" s="60"/>
      <c r="K148" s="60"/>
    </row>
    <row r="149" spans="2:11" ht="16.5" x14ac:dyDescent="0.3">
      <c r="B149" s="87">
        <f>B136</f>
        <v>15000</v>
      </c>
      <c r="C149" s="86">
        <f ca="1">E132</f>
        <v>2.3082763763247121</v>
      </c>
      <c r="D149" s="86">
        <f ca="1">H132</f>
        <v>2.3192265793324709</v>
      </c>
      <c r="E149" s="88"/>
      <c r="F149" s="88"/>
      <c r="J149" s="61"/>
      <c r="K149" s="61"/>
    </row>
    <row r="150" spans="2:11" x14ac:dyDescent="0.25">
      <c r="B150" s="108">
        <f t="shared" ref="B150:B151" si="14">B137</f>
        <v>30000</v>
      </c>
      <c r="C150" s="86">
        <f ca="1">C132</f>
        <v>1.3847636881623564</v>
      </c>
      <c r="D150" s="86">
        <f ca="1">F132</f>
        <v>1.2237976296662354</v>
      </c>
      <c r="E150" s="88"/>
      <c r="F150" s="88"/>
      <c r="J150" s="31"/>
      <c r="K150" s="31"/>
    </row>
    <row r="151" spans="2:11" ht="16.5" x14ac:dyDescent="0.3">
      <c r="B151" s="87">
        <f t="shared" si="14"/>
        <v>60000</v>
      </c>
      <c r="C151" s="86">
        <f ca="1">D132</f>
        <v>0.92300734408117802</v>
      </c>
      <c r="D151" s="86">
        <f ca="1">G132</f>
        <v>0.67608315483311765</v>
      </c>
      <c r="E151" s="88"/>
      <c r="F151" s="88"/>
      <c r="J151" s="60"/>
      <c r="K151" s="60"/>
    </row>
    <row r="152" spans="2:11" ht="16.5" x14ac:dyDescent="0.3">
      <c r="J152" s="60"/>
      <c r="K152" s="60"/>
    </row>
    <row r="153" spans="2:11" ht="16.5" x14ac:dyDescent="0.3">
      <c r="J153" s="60"/>
      <c r="K153" s="60"/>
    </row>
    <row r="154" spans="2:11" ht="16.5" x14ac:dyDescent="0.3">
      <c r="C154" s="246" t="s">
        <v>151</v>
      </c>
      <c r="D154" s="247" t="s">
        <v>152</v>
      </c>
      <c r="E154" s="250" t="s">
        <v>164</v>
      </c>
      <c r="F154" s="251"/>
      <c r="G154" s="243" t="s">
        <v>102</v>
      </c>
      <c r="H154" s="244"/>
      <c r="I154" s="244"/>
      <c r="J154" s="245"/>
      <c r="K154" s="60"/>
    </row>
    <row r="155" spans="2:11" ht="16.5" x14ac:dyDescent="0.3">
      <c r="C155" s="246"/>
      <c r="D155" s="248"/>
      <c r="E155" s="252"/>
      <c r="F155" s="253"/>
      <c r="G155" s="243" t="s">
        <v>153</v>
      </c>
      <c r="H155" s="245"/>
      <c r="I155" s="243" t="s">
        <v>154</v>
      </c>
      <c r="J155" s="245"/>
      <c r="K155" s="60"/>
    </row>
    <row r="156" spans="2:11" ht="16.5" x14ac:dyDescent="0.3">
      <c r="C156" s="246"/>
      <c r="D156" s="249"/>
      <c r="E156" s="127" t="s">
        <v>1</v>
      </c>
      <c r="F156" s="127" t="s">
        <v>3</v>
      </c>
      <c r="G156" s="127" t="s">
        <v>1</v>
      </c>
      <c r="H156" s="127" t="s">
        <v>3</v>
      </c>
      <c r="I156" s="127" t="s">
        <v>1</v>
      </c>
      <c r="J156" s="127" t="s">
        <v>3</v>
      </c>
      <c r="K156" s="60"/>
    </row>
    <row r="157" spans="2:11" ht="16.5" x14ac:dyDescent="0.3">
      <c r="C157" s="128" t="s">
        <v>155</v>
      </c>
      <c r="D157" s="128">
        <f>B136</f>
        <v>15000</v>
      </c>
      <c r="E157" s="129">
        <f ca="1">F157*D157*Parametros!$C$7</f>
        <v>276993.16515896545</v>
      </c>
      <c r="F157" s="130">
        <f ca="1">C136</f>
        <v>2.3082763763247121</v>
      </c>
      <c r="G157" s="129">
        <f ca="1">H157*D157*Parametros!$C$15</f>
        <v>210932.18951989652</v>
      </c>
      <c r="H157" s="130">
        <f ca="1">D136</f>
        <v>1.7577682459991377</v>
      </c>
      <c r="I157" s="129">
        <f ca="1">J157*D157*Parametros!$C$15</f>
        <v>278307.18951989652</v>
      </c>
      <c r="J157" s="130">
        <f ca="1">D149</f>
        <v>2.3192265793324709</v>
      </c>
      <c r="K157" s="60"/>
    </row>
    <row r="158" spans="2:11" ht="16.5" x14ac:dyDescent="0.3">
      <c r="C158" s="131" t="s">
        <v>156</v>
      </c>
      <c r="D158" s="131">
        <f t="shared" ref="D158:D159" si="15">B137</f>
        <v>30000</v>
      </c>
      <c r="E158" s="132">
        <f ca="1">F158*D158*Parametros!$C$7</f>
        <v>332343.28515896556</v>
      </c>
      <c r="F158" s="133">
        <f t="shared" ref="F158:F159" ca="1" si="16">C137</f>
        <v>1.3847636881623564</v>
      </c>
      <c r="G158" s="132">
        <f ca="1">H158*D158*Parametros!$C$15</f>
        <v>226336.4311198965</v>
      </c>
      <c r="H158" s="133">
        <f t="shared" ref="H158:H159" ca="1" si="17">D137</f>
        <v>0.94306846299956881</v>
      </c>
      <c r="I158" s="132">
        <f ca="1">J158*D158*Parametros!$C$15</f>
        <v>293711.43111989647</v>
      </c>
      <c r="J158" s="133">
        <f t="shared" ref="J158:J159" ca="1" si="18">D150</f>
        <v>1.2237976296662354</v>
      </c>
      <c r="K158" s="60"/>
    </row>
    <row r="159" spans="2:11" x14ac:dyDescent="0.25">
      <c r="C159" s="134" t="s">
        <v>157</v>
      </c>
      <c r="D159" s="134">
        <f t="shared" si="15"/>
        <v>60000</v>
      </c>
      <c r="E159" s="135">
        <f ca="1">F159*D159*Parametros!$C$7</f>
        <v>443043.52515896544</v>
      </c>
      <c r="F159" s="136">
        <f t="shared" ca="1" si="16"/>
        <v>0.92300734408117802</v>
      </c>
      <c r="G159" s="135">
        <f ca="1">H159*D159*Parametros!$C$15</f>
        <v>257144.91431989652</v>
      </c>
      <c r="H159" s="136">
        <f t="shared" ca="1" si="17"/>
        <v>0.53571857149978441</v>
      </c>
      <c r="I159" s="135">
        <f ca="1">J159*D159*Parametros!$C$15</f>
        <v>324519.91431989649</v>
      </c>
      <c r="J159" s="136">
        <f t="shared" ca="1" si="18"/>
        <v>0.67608315483311765</v>
      </c>
    </row>
  </sheetData>
  <mergeCells count="39">
    <mergeCell ref="A46:A47"/>
    <mergeCell ref="G154:J154"/>
    <mergeCell ref="G155:H155"/>
    <mergeCell ref="I155:J155"/>
    <mergeCell ref="C154:C156"/>
    <mergeCell ref="D154:D156"/>
    <mergeCell ref="E154:F155"/>
    <mergeCell ref="A98:A103"/>
    <mergeCell ref="B134:D134"/>
    <mergeCell ref="B147:D147"/>
    <mergeCell ref="A122:A127"/>
    <mergeCell ref="A128:A129"/>
    <mergeCell ref="A104:A105"/>
    <mergeCell ref="A119:A121"/>
    <mergeCell ref="A110:B110"/>
    <mergeCell ref="A92:F92"/>
    <mergeCell ref="A27:B27"/>
    <mergeCell ref="A21:B21"/>
    <mergeCell ref="A22:B22"/>
    <mergeCell ref="A23:B23"/>
    <mergeCell ref="A25:B25"/>
    <mergeCell ref="A26:B26"/>
    <mergeCell ref="A29:B29"/>
    <mergeCell ref="A34:F34"/>
    <mergeCell ref="A30:B30"/>
    <mergeCell ref="A37:A39"/>
    <mergeCell ref="A40:A45"/>
    <mergeCell ref="A1:F1"/>
    <mergeCell ref="A6:A11"/>
    <mergeCell ref="A12:A13"/>
    <mergeCell ref="A4:A5"/>
    <mergeCell ref="A14:A15"/>
    <mergeCell ref="A95:A97"/>
    <mergeCell ref="A116:F116"/>
    <mergeCell ref="A112:B112"/>
    <mergeCell ref="A113:B113"/>
    <mergeCell ref="A114:B114"/>
    <mergeCell ref="A108:B108"/>
    <mergeCell ref="A109:B10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73351-85DE-4263-9C2F-FFB4F66011D4}">
  <dimension ref="A1:AU89"/>
  <sheetViews>
    <sheetView workbookViewId="0">
      <selection sqref="A1:B1"/>
    </sheetView>
  </sheetViews>
  <sheetFormatPr baseColWidth="10" defaultColWidth="0" defaultRowHeight="14.45" customHeight="1" zeroHeight="1" x14ac:dyDescent="0.25"/>
  <cols>
    <col min="1" max="1" width="19" bestFit="1" customWidth="1"/>
    <col min="2" max="2" width="36.42578125" bestFit="1" customWidth="1"/>
    <col min="3" max="4" width="9.140625" customWidth="1"/>
    <col min="5" max="5" width="20.28515625" bestFit="1" customWidth="1"/>
    <col min="6" max="34" width="9.140625" customWidth="1"/>
    <col min="35" max="35" width="10.42578125" bestFit="1" customWidth="1"/>
    <col min="36" max="36" width="9.140625" customWidth="1"/>
    <col min="37" max="37" width="6.28515625" customWidth="1"/>
    <col min="38" max="42" width="9.140625" customWidth="1"/>
    <col min="43" max="43" width="5" customWidth="1"/>
    <col min="44" max="47" width="0" hidden="1" customWidth="1"/>
    <col min="48" max="16384" width="9.140625" hidden="1"/>
  </cols>
  <sheetData>
    <row r="1" spans="1:36" ht="18.75" x14ac:dyDescent="0.3">
      <c r="A1" s="256" t="s">
        <v>211</v>
      </c>
      <c r="B1" s="256"/>
      <c r="C1" s="175"/>
      <c r="D1" s="176"/>
      <c r="E1" s="175"/>
      <c r="F1" s="175"/>
      <c r="G1" s="177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ht="18.75" x14ac:dyDescent="0.3">
      <c r="A2" s="178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</row>
    <row r="3" spans="1:36" ht="15" x14ac:dyDescent="0.25">
      <c r="A3" s="257" t="s">
        <v>201</v>
      </c>
      <c r="B3" s="257"/>
      <c r="C3" s="180">
        <v>0</v>
      </c>
    </row>
    <row r="4" spans="1:36" ht="15" x14ac:dyDescent="0.25">
      <c r="A4" s="258" t="s">
        <v>207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181"/>
    </row>
    <row r="5" spans="1:36" ht="15" x14ac:dyDescent="0.25">
      <c r="A5" s="96"/>
      <c r="E5" s="182">
        <v>0</v>
      </c>
      <c r="F5" s="182">
        <v>1</v>
      </c>
      <c r="G5" s="182">
        <v>2</v>
      </c>
      <c r="H5" s="182">
        <v>3</v>
      </c>
      <c r="I5" s="182">
        <v>4</v>
      </c>
      <c r="J5" s="182">
        <v>5</v>
      </c>
      <c r="K5" s="182">
        <v>6</v>
      </c>
      <c r="L5" s="182">
        <v>7</v>
      </c>
      <c r="M5" s="182">
        <v>8</v>
      </c>
      <c r="N5" s="182">
        <v>9</v>
      </c>
      <c r="O5" s="182">
        <v>10</v>
      </c>
      <c r="P5" s="182">
        <v>11</v>
      </c>
      <c r="Q5" s="182">
        <v>12</v>
      </c>
      <c r="R5" s="182">
        <v>13</v>
      </c>
      <c r="S5" s="182">
        <v>14</v>
      </c>
      <c r="T5" s="182">
        <v>15</v>
      </c>
      <c r="U5" s="182">
        <v>16</v>
      </c>
      <c r="V5" s="182">
        <v>17</v>
      </c>
      <c r="W5" s="182">
        <v>18</v>
      </c>
      <c r="X5" s="182">
        <v>19</v>
      </c>
      <c r="Y5" s="182">
        <v>20</v>
      </c>
      <c r="Z5" s="182">
        <v>21</v>
      </c>
      <c r="AA5" s="182">
        <v>22</v>
      </c>
      <c r="AB5" s="182">
        <v>23</v>
      </c>
      <c r="AC5" s="182">
        <v>24</v>
      </c>
      <c r="AD5" s="182">
        <v>25</v>
      </c>
      <c r="AE5" s="182">
        <v>26</v>
      </c>
      <c r="AF5" s="182">
        <v>27</v>
      </c>
      <c r="AG5" s="182">
        <v>28</v>
      </c>
      <c r="AJ5" s="183"/>
    </row>
    <row r="6" spans="1:36" ht="15" x14ac:dyDescent="0.25">
      <c r="A6" s="259" t="s">
        <v>202</v>
      </c>
      <c r="B6" s="259"/>
      <c r="C6" s="181" t="s">
        <v>1</v>
      </c>
      <c r="E6" s="184">
        <v>2022</v>
      </c>
      <c r="F6" s="184">
        <f>+E6+1</f>
        <v>2023</v>
      </c>
      <c r="G6" s="185">
        <f t="shared" ref="G6:AG6" si="0">+F6+1</f>
        <v>2024</v>
      </c>
      <c r="H6" s="185">
        <f t="shared" si="0"/>
        <v>2025</v>
      </c>
      <c r="I6" s="185">
        <f t="shared" si="0"/>
        <v>2026</v>
      </c>
      <c r="J6" s="185">
        <f t="shared" si="0"/>
        <v>2027</v>
      </c>
      <c r="K6" s="185">
        <f t="shared" si="0"/>
        <v>2028</v>
      </c>
      <c r="L6" s="185">
        <f t="shared" si="0"/>
        <v>2029</v>
      </c>
      <c r="M6" s="185">
        <f t="shared" si="0"/>
        <v>2030</v>
      </c>
      <c r="N6" s="185">
        <f t="shared" si="0"/>
        <v>2031</v>
      </c>
      <c r="O6" s="185">
        <f t="shared" si="0"/>
        <v>2032</v>
      </c>
      <c r="P6" s="185">
        <f t="shared" si="0"/>
        <v>2033</v>
      </c>
      <c r="Q6" s="185">
        <f t="shared" si="0"/>
        <v>2034</v>
      </c>
      <c r="R6" s="185">
        <f t="shared" si="0"/>
        <v>2035</v>
      </c>
      <c r="S6" s="185">
        <f t="shared" si="0"/>
        <v>2036</v>
      </c>
      <c r="T6" s="185">
        <f t="shared" si="0"/>
        <v>2037</v>
      </c>
      <c r="U6" s="185">
        <f t="shared" si="0"/>
        <v>2038</v>
      </c>
      <c r="V6" s="185">
        <f t="shared" si="0"/>
        <v>2039</v>
      </c>
      <c r="W6" s="185">
        <f t="shared" si="0"/>
        <v>2040</v>
      </c>
      <c r="X6" s="185">
        <f t="shared" si="0"/>
        <v>2041</v>
      </c>
      <c r="Y6" s="185">
        <f t="shared" si="0"/>
        <v>2042</v>
      </c>
      <c r="Z6" s="185">
        <f t="shared" si="0"/>
        <v>2043</v>
      </c>
      <c r="AA6" s="185">
        <f t="shared" si="0"/>
        <v>2044</v>
      </c>
      <c r="AB6" s="185">
        <f t="shared" si="0"/>
        <v>2045</v>
      </c>
      <c r="AC6" s="185">
        <f t="shared" si="0"/>
        <v>2046</v>
      </c>
      <c r="AD6" s="185">
        <f t="shared" si="0"/>
        <v>2047</v>
      </c>
      <c r="AE6" s="185">
        <f t="shared" si="0"/>
        <v>2048</v>
      </c>
      <c r="AF6" s="185">
        <f t="shared" si="0"/>
        <v>2049</v>
      </c>
      <c r="AG6" s="185">
        <f t="shared" si="0"/>
        <v>2050</v>
      </c>
      <c r="AI6" s="185" t="s">
        <v>203</v>
      </c>
      <c r="AJ6" s="183"/>
    </row>
    <row r="7" spans="1:36" ht="15" x14ac:dyDescent="0.25">
      <c r="A7" s="238" t="s">
        <v>15</v>
      </c>
      <c r="B7" s="29" t="s">
        <v>145</v>
      </c>
      <c r="C7" s="186"/>
      <c r="E7" s="187">
        <f>CTP!C15</f>
        <v>110000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8">
        <v>0</v>
      </c>
      <c r="AA7" s="188">
        <v>0</v>
      </c>
      <c r="AB7" s="188">
        <v>0</v>
      </c>
      <c r="AC7" s="188">
        <v>0</v>
      </c>
      <c r="AD7" s="188">
        <v>0</v>
      </c>
      <c r="AE7" s="188">
        <v>0</v>
      </c>
      <c r="AF7" s="188">
        <v>0</v>
      </c>
      <c r="AG7" s="189">
        <v>0</v>
      </c>
      <c r="AH7" s="183"/>
      <c r="AI7" s="190">
        <f>+SUM(E7:AG7)</f>
        <v>110000</v>
      </c>
      <c r="AJ7" s="183"/>
    </row>
    <row r="8" spans="1:36" ht="15" x14ac:dyDescent="0.25">
      <c r="A8" s="240"/>
      <c r="B8" s="112" t="s">
        <v>82</v>
      </c>
      <c r="C8" s="186"/>
      <c r="E8" s="191">
        <f>CTP!C5</f>
        <v>0</v>
      </c>
      <c r="F8" s="192">
        <v>0</v>
      </c>
      <c r="G8" s="192">
        <v>0</v>
      </c>
      <c r="H8" s="192">
        <v>0</v>
      </c>
      <c r="I8" s="192">
        <v>0</v>
      </c>
      <c r="J8" s="192">
        <v>0</v>
      </c>
      <c r="K8" s="192">
        <v>0</v>
      </c>
      <c r="L8" s="192">
        <v>0</v>
      </c>
      <c r="M8" s="192">
        <v>0</v>
      </c>
      <c r="N8" s="192">
        <v>0</v>
      </c>
      <c r="O8" s="192">
        <v>0</v>
      </c>
      <c r="P8" s="192">
        <v>0</v>
      </c>
      <c r="Q8" s="192">
        <v>0</v>
      </c>
      <c r="R8" s="192">
        <v>0</v>
      </c>
      <c r="S8" s="192">
        <v>0</v>
      </c>
      <c r="T8" s="192">
        <v>0</v>
      </c>
      <c r="U8" s="192">
        <v>0</v>
      </c>
      <c r="V8" s="192">
        <v>0</v>
      </c>
      <c r="W8" s="192">
        <v>0</v>
      </c>
      <c r="X8" s="192">
        <v>0</v>
      </c>
      <c r="Y8" s="192">
        <v>0</v>
      </c>
      <c r="Z8" s="192">
        <v>0</v>
      </c>
      <c r="AA8" s="192">
        <v>0</v>
      </c>
      <c r="AB8" s="192">
        <v>0</v>
      </c>
      <c r="AC8" s="192">
        <v>0</v>
      </c>
      <c r="AD8" s="192">
        <v>0</v>
      </c>
      <c r="AE8" s="192">
        <v>0</v>
      </c>
      <c r="AF8" s="192">
        <v>0</v>
      </c>
      <c r="AG8" s="193">
        <v>0</v>
      </c>
      <c r="AH8" s="183"/>
      <c r="AI8" s="194">
        <f t="shared" ref="AI8:AI14" si="1">+SUM(E8:AG8)</f>
        <v>0</v>
      </c>
      <c r="AJ8" s="183"/>
    </row>
    <row r="9" spans="1:36" ht="15" x14ac:dyDescent="0.25">
      <c r="A9" s="238" t="s">
        <v>16</v>
      </c>
      <c r="B9" s="29" t="s">
        <v>119</v>
      </c>
      <c r="C9" s="186"/>
      <c r="E9" s="187">
        <f>CTP!C6</f>
        <v>5500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8">
        <v>0</v>
      </c>
      <c r="AA9" s="188">
        <v>0</v>
      </c>
      <c r="AB9" s="188">
        <v>0</v>
      </c>
      <c r="AC9" s="188">
        <v>0</v>
      </c>
      <c r="AD9" s="188">
        <v>0</v>
      </c>
      <c r="AE9" s="188">
        <v>0</v>
      </c>
      <c r="AF9" s="188">
        <v>0</v>
      </c>
      <c r="AG9" s="189">
        <v>0</v>
      </c>
      <c r="AH9" s="183"/>
      <c r="AI9" s="190">
        <f t="shared" si="1"/>
        <v>5500</v>
      </c>
      <c r="AJ9" s="183"/>
    </row>
    <row r="10" spans="1:36" ht="15" x14ac:dyDescent="0.25">
      <c r="A10" s="239"/>
      <c r="B10" s="119" t="s">
        <v>113</v>
      </c>
      <c r="C10" s="186"/>
      <c r="E10" s="195">
        <f>CTP!C7</f>
        <v>25300</v>
      </c>
      <c r="F10" s="196">
        <v>0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96">
        <v>0</v>
      </c>
      <c r="Q10" s="196">
        <v>0</v>
      </c>
      <c r="R10" s="196">
        <v>0</v>
      </c>
      <c r="S10" s="196">
        <v>0</v>
      </c>
      <c r="T10" s="196">
        <v>0</v>
      </c>
      <c r="U10" s="196">
        <v>0</v>
      </c>
      <c r="V10" s="196">
        <v>0</v>
      </c>
      <c r="W10" s="196">
        <v>0</v>
      </c>
      <c r="X10" s="196">
        <v>0</v>
      </c>
      <c r="Y10" s="196">
        <v>0</v>
      </c>
      <c r="Z10" s="196">
        <v>0</v>
      </c>
      <c r="AA10" s="196">
        <v>0</v>
      </c>
      <c r="AB10" s="196">
        <v>0</v>
      </c>
      <c r="AC10" s="196">
        <v>0</v>
      </c>
      <c r="AD10" s="196">
        <v>0</v>
      </c>
      <c r="AE10" s="196">
        <v>0</v>
      </c>
      <c r="AF10" s="196">
        <v>0</v>
      </c>
      <c r="AG10" s="197">
        <v>0</v>
      </c>
      <c r="AH10" s="183"/>
      <c r="AI10" s="198">
        <f t="shared" si="1"/>
        <v>25300</v>
      </c>
      <c r="AJ10" s="183"/>
    </row>
    <row r="11" spans="1:36" ht="15" x14ac:dyDescent="0.25">
      <c r="A11" s="239"/>
      <c r="B11" s="112" t="s">
        <v>71</v>
      </c>
      <c r="C11" s="186"/>
      <c r="E11" s="195">
        <f>CTP!C8</f>
        <v>24200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f>[1]CTP!$C$7</f>
        <v>0</v>
      </c>
      <c r="N11" s="196">
        <v>0</v>
      </c>
      <c r="O11" s="196">
        <v>0</v>
      </c>
      <c r="P11" s="196">
        <v>0</v>
      </c>
      <c r="Q11" s="196">
        <v>0</v>
      </c>
      <c r="R11" s="196">
        <v>0</v>
      </c>
      <c r="S11" s="196">
        <v>0</v>
      </c>
      <c r="T11" s="196">
        <v>0</v>
      </c>
      <c r="U11" s="196">
        <v>0</v>
      </c>
      <c r="V11" s="196">
        <v>0</v>
      </c>
      <c r="W11" s="196">
        <v>0</v>
      </c>
      <c r="X11" s="196">
        <v>0</v>
      </c>
      <c r="Y11" s="196">
        <v>0</v>
      </c>
      <c r="Z11" s="196">
        <v>0</v>
      </c>
      <c r="AA11" s="196">
        <v>0</v>
      </c>
      <c r="AB11" s="196">
        <v>0</v>
      </c>
      <c r="AC11" s="196">
        <v>0</v>
      </c>
      <c r="AD11" s="196">
        <v>0</v>
      </c>
      <c r="AE11" s="196">
        <v>0</v>
      </c>
      <c r="AF11" s="196">
        <v>0</v>
      </c>
      <c r="AG11" s="197">
        <v>0</v>
      </c>
      <c r="AH11" s="183"/>
      <c r="AI11" s="198">
        <f t="shared" si="1"/>
        <v>24200</v>
      </c>
      <c r="AJ11" s="183"/>
    </row>
    <row r="12" spans="1:36" ht="15" x14ac:dyDescent="0.25">
      <c r="A12" s="239"/>
      <c r="B12" s="112" t="s">
        <v>103</v>
      </c>
      <c r="C12" s="186"/>
      <c r="E12" s="195">
        <f>CTP!C9</f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6">
        <v>0</v>
      </c>
      <c r="V12" s="196">
        <v>0</v>
      </c>
      <c r="W12" s="196">
        <v>0</v>
      </c>
      <c r="X12" s="196">
        <v>0</v>
      </c>
      <c r="Y12" s="196">
        <v>0</v>
      </c>
      <c r="Z12" s="196">
        <v>0</v>
      </c>
      <c r="AA12" s="196">
        <v>0</v>
      </c>
      <c r="AB12" s="196">
        <v>0</v>
      </c>
      <c r="AC12" s="196">
        <v>0</v>
      </c>
      <c r="AD12" s="196">
        <v>0</v>
      </c>
      <c r="AE12" s="196">
        <v>0</v>
      </c>
      <c r="AF12" s="196">
        <v>0</v>
      </c>
      <c r="AG12" s="197">
        <v>0</v>
      </c>
      <c r="AH12" s="183"/>
      <c r="AI12" s="198">
        <f t="shared" si="1"/>
        <v>0</v>
      </c>
      <c r="AJ12" s="183"/>
    </row>
    <row r="13" spans="1:36" ht="15" x14ac:dyDescent="0.25">
      <c r="A13" s="239"/>
      <c r="B13" s="112" t="s">
        <v>114</v>
      </c>
      <c r="C13" s="186"/>
      <c r="E13" s="195">
        <f>CTP!$C$4*Parametros!$C$116</f>
        <v>2475</v>
      </c>
      <c r="F13" s="196">
        <f>CTP!$C$4*Parametros!$C$116</f>
        <v>2475</v>
      </c>
      <c r="G13" s="196">
        <f>CTP!$C$4*Parametros!$C$116</f>
        <v>2475</v>
      </c>
      <c r="H13" s="196">
        <f>CTP!$C$4*Parametros!$C$116</f>
        <v>2475</v>
      </c>
      <c r="I13" s="196">
        <f>CTP!$C$4*Parametros!$C$116</f>
        <v>2475</v>
      </c>
      <c r="J13" s="196">
        <f>CTP!$C$4*Parametros!$C$116</f>
        <v>2475</v>
      </c>
      <c r="K13" s="196">
        <f>CTP!$C$4*Parametros!$C$116</f>
        <v>2475</v>
      </c>
      <c r="L13" s="196">
        <f>CTP!$C$4*Parametros!$C$116</f>
        <v>2475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0</v>
      </c>
      <c r="V13" s="196">
        <v>0</v>
      </c>
      <c r="W13" s="196">
        <v>0</v>
      </c>
      <c r="X13" s="196">
        <v>0</v>
      </c>
      <c r="Y13" s="196">
        <v>0</v>
      </c>
      <c r="Z13" s="196">
        <v>0</v>
      </c>
      <c r="AA13" s="196">
        <v>0</v>
      </c>
      <c r="AB13" s="196">
        <v>0</v>
      </c>
      <c r="AC13" s="196">
        <v>0</v>
      </c>
      <c r="AD13" s="196">
        <v>0</v>
      </c>
      <c r="AE13" s="196">
        <v>0</v>
      </c>
      <c r="AF13" s="196">
        <v>0</v>
      </c>
      <c r="AG13" s="197">
        <v>0</v>
      </c>
      <c r="AH13" s="183"/>
      <c r="AI13" s="198">
        <f t="shared" si="1"/>
        <v>19800</v>
      </c>
      <c r="AJ13" s="183"/>
    </row>
    <row r="14" spans="1:36" ht="15" x14ac:dyDescent="0.25">
      <c r="A14" s="239"/>
      <c r="B14" s="30" t="s">
        <v>87</v>
      </c>
      <c r="C14" s="186"/>
      <c r="E14" s="191">
        <f>-IPMT(Parametros!$C$50,1,Parametros!$C$49,(SUM(CTP!$C$4,CTP!$C$6:$C$9))*Parametros!$C$48)</f>
        <v>11550</v>
      </c>
      <c r="F14" s="192">
        <f>-IPMT(Parametros!$C$50,2,Parametros!$C$49,(SUM(CTP!$C$4,CTP!$C$6:$C$9))*Parametros!$C$48)</f>
        <v>9658.1390968206906</v>
      </c>
      <c r="G14" s="192">
        <f>-IPMT(Parametros!$C$50,3,Parametros!$C$49,(SUM(CTP!$C$4,CTP!$C$6:$C$9))*Parametros!$C$48)</f>
        <v>7577.0921033234499</v>
      </c>
      <c r="H14" s="192">
        <f>-IPMT(Parametros!$C$50,4,Parametros!$C$49,(SUM(CTP!$C$4,CTP!$C$6:$C$9))*Parametros!$C$48)</f>
        <v>5287.9404104764872</v>
      </c>
      <c r="I14" s="192">
        <f>-IPMT(Parametros!$C$50,5,Parametros!$C$49,(SUM(CTP!$C$4,CTP!$C$6:$C$9))*Parametros!$C$48)</f>
        <v>2769.8735483448263</v>
      </c>
      <c r="J14" s="192">
        <v>0</v>
      </c>
      <c r="K14" s="192">
        <v>0</v>
      </c>
      <c r="L14" s="192">
        <v>0</v>
      </c>
      <c r="M14" s="192">
        <v>0</v>
      </c>
      <c r="N14" s="192">
        <v>0</v>
      </c>
      <c r="O14" s="192">
        <v>0</v>
      </c>
      <c r="P14" s="192">
        <v>0</v>
      </c>
      <c r="Q14" s="192">
        <v>0</v>
      </c>
      <c r="R14" s="192">
        <v>0</v>
      </c>
      <c r="S14" s="192">
        <v>0</v>
      </c>
      <c r="T14" s="192">
        <v>0</v>
      </c>
      <c r="U14" s="192">
        <v>0</v>
      </c>
      <c r="V14" s="192">
        <v>0</v>
      </c>
      <c r="W14" s="192">
        <v>0</v>
      </c>
      <c r="X14" s="192">
        <v>0</v>
      </c>
      <c r="Y14" s="192">
        <v>0</v>
      </c>
      <c r="Z14" s="192">
        <v>0</v>
      </c>
      <c r="AA14" s="192">
        <v>0</v>
      </c>
      <c r="AB14" s="192">
        <v>0</v>
      </c>
      <c r="AC14" s="192">
        <v>0</v>
      </c>
      <c r="AD14" s="192">
        <v>0</v>
      </c>
      <c r="AE14" s="192">
        <v>0</v>
      </c>
      <c r="AF14" s="192">
        <v>0</v>
      </c>
      <c r="AG14" s="193">
        <v>0</v>
      </c>
      <c r="AH14" s="183"/>
      <c r="AI14" s="194">
        <f t="shared" si="1"/>
        <v>36843.045158965455</v>
      </c>
      <c r="AJ14" s="183"/>
    </row>
    <row r="15" spans="1:36" ht="15" x14ac:dyDescent="0.25">
      <c r="A15" s="238" t="s">
        <v>17</v>
      </c>
      <c r="B15" s="112" t="s">
        <v>40</v>
      </c>
      <c r="C15" s="186"/>
      <c r="E15" s="187">
        <f>(Parametros!$C$9)*Parametros!$C$37</f>
        <v>2400</v>
      </c>
      <c r="F15" s="188">
        <f>(Parametros!$C$9)*Parametros!$C$37</f>
        <v>2400</v>
      </c>
      <c r="G15" s="188">
        <f>(Parametros!$C$9)*Parametros!$C$37</f>
        <v>2400</v>
      </c>
      <c r="H15" s="188">
        <f>(Parametros!$C$9)*Parametros!$C$37</f>
        <v>2400</v>
      </c>
      <c r="I15" s="188">
        <f>(Parametros!$C$9)*Parametros!$C$37</f>
        <v>2400</v>
      </c>
      <c r="J15" s="188">
        <f>(Parametros!$C$9)*Parametros!$C$37</f>
        <v>2400</v>
      </c>
      <c r="K15" s="188">
        <f>(Parametros!$C$9)*Parametros!$C$37</f>
        <v>2400</v>
      </c>
      <c r="L15" s="188">
        <f>(Parametros!$C$9)*Parametros!$C$37</f>
        <v>2400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v>0</v>
      </c>
      <c r="AC15" s="188">
        <v>0</v>
      </c>
      <c r="AD15" s="188">
        <v>0</v>
      </c>
      <c r="AE15" s="188">
        <v>0</v>
      </c>
      <c r="AF15" s="188">
        <v>0</v>
      </c>
      <c r="AG15" s="189">
        <v>0</v>
      </c>
      <c r="AH15" s="183"/>
      <c r="AI15" s="190">
        <f>+SUM(E15:AG15)</f>
        <v>19200</v>
      </c>
      <c r="AJ15" s="183"/>
    </row>
    <row r="16" spans="1:36" ht="15" x14ac:dyDescent="0.25">
      <c r="A16" s="240"/>
      <c r="B16" s="30" t="s">
        <v>88</v>
      </c>
      <c r="C16" s="186"/>
      <c r="E16" s="191">
        <f>Parametros!H$76</f>
        <v>11175.930000000002</v>
      </c>
      <c r="F16" s="192">
        <f>Parametros!H$77</f>
        <v>11175.930000000002</v>
      </c>
      <c r="G16" s="192">
        <f>Parametros!H$78</f>
        <v>11175.930000000002</v>
      </c>
      <c r="H16" s="192">
        <f>Parametros!H$79</f>
        <v>11175.930000000002</v>
      </c>
      <c r="I16" s="192">
        <f>Parametros!H$80</f>
        <v>11175.930000000002</v>
      </c>
      <c r="J16" s="192">
        <f>Parametros!H$81</f>
        <v>11175.930000000002</v>
      </c>
      <c r="K16" s="192">
        <f>Parametros!H$82</f>
        <v>11175.930000000002</v>
      </c>
      <c r="L16" s="192">
        <f>Parametros!H$83</f>
        <v>11175.930000000002</v>
      </c>
      <c r="M16" s="192">
        <v>0</v>
      </c>
      <c r="N16" s="192">
        <v>0</v>
      </c>
      <c r="O16" s="192">
        <v>0</v>
      </c>
      <c r="P16" s="192">
        <v>0</v>
      </c>
      <c r="Q16" s="192">
        <v>0</v>
      </c>
      <c r="R16" s="192">
        <v>0</v>
      </c>
      <c r="S16" s="192">
        <v>0</v>
      </c>
      <c r="T16" s="192">
        <v>0</v>
      </c>
      <c r="U16" s="192">
        <v>0</v>
      </c>
      <c r="V16" s="192">
        <v>0</v>
      </c>
      <c r="W16" s="192">
        <v>0</v>
      </c>
      <c r="X16" s="192">
        <v>0</v>
      </c>
      <c r="Y16" s="192">
        <v>0</v>
      </c>
      <c r="Z16" s="192">
        <v>0</v>
      </c>
      <c r="AA16" s="192">
        <v>0</v>
      </c>
      <c r="AB16" s="192">
        <v>0</v>
      </c>
      <c r="AC16" s="192">
        <v>0</v>
      </c>
      <c r="AD16" s="192">
        <v>0</v>
      </c>
      <c r="AE16" s="192">
        <v>0</v>
      </c>
      <c r="AF16" s="192">
        <v>0</v>
      </c>
      <c r="AG16" s="193">
        <v>0</v>
      </c>
      <c r="AH16" s="183"/>
      <c r="AI16" s="194">
        <f>+SUM(E16:AG16)</f>
        <v>89407.440000000031</v>
      </c>
      <c r="AJ16" s="183"/>
    </row>
    <row r="17" spans="1:36" ht="15" x14ac:dyDescent="0.25">
      <c r="A17" s="69" t="s">
        <v>204</v>
      </c>
      <c r="B17" s="70" t="s">
        <v>90</v>
      </c>
      <c r="C17" s="186"/>
      <c r="E17" s="199">
        <f>Parametros!$C$132*Parametros!$C$37/(10^6)*Parametros!$C$134</f>
        <v>261.60000000000002</v>
      </c>
      <c r="F17" s="200">
        <f>Parametros!$C$132*Parametros!$C$37/(10^6)*Parametros!$C$134</f>
        <v>261.60000000000002</v>
      </c>
      <c r="G17" s="200">
        <f>Parametros!$C$132*Parametros!$C$37/(10^6)*Parametros!$C$134</f>
        <v>261.60000000000002</v>
      </c>
      <c r="H17" s="200">
        <f>Parametros!$C$132*Parametros!$C$37/(10^6)*Parametros!$C$134</f>
        <v>261.60000000000002</v>
      </c>
      <c r="I17" s="200">
        <f>Parametros!$C$132*Parametros!$C$37/(10^6)*Parametros!$C$134</f>
        <v>261.60000000000002</v>
      </c>
      <c r="J17" s="200">
        <f>Parametros!$C$132*Parametros!$C$37/(10^6)*Parametros!$C$134</f>
        <v>261.60000000000002</v>
      </c>
      <c r="K17" s="200">
        <f>Parametros!$C$132*Parametros!$C$37/(10^6)*Parametros!$C$134</f>
        <v>261.60000000000002</v>
      </c>
      <c r="L17" s="200">
        <f>Parametros!$C$132*Parametros!$C$37/(10^6)*Parametros!$C$134</f>
        <v>261.60000000000002</v>
      </c>
      <c r="M17" s="192">
        <v>0</v>
      </c>
      <c r="N17" s="192">
        <v>0</v>
      </c>
      <c r="O17" s="192">
        <v>0</v>
      </c>
      <c r="P17" s="192">
        <v>0</v>
      </c>
      <c r="Q17" s="192">
        <v>0</v>
      </c>
      <c r="R17" s="192">
        <v>0</v>
      </c>
      <c r="S17" s="192">
        <v>0</v>
      </c>
      <c r="T17" s="192">
        <v>0</v>
      </c>
      <c r="U17" s="192">
        <v>0</v>
      </c>
      <c r="V17" s="192">
        <v>0</v>
      </c>
      <c r="W17" s="192">
        <v>0</v>
      </c>
      <c r="X17" s="192">
        <v>0</v>
      </c>
      <c r="Y17" s="192">
        <v>0</v>
      </c>
      <c r="Z17" s="192">
        <v>0</v>
      </c>
      <c r="AA17" s="192">
        <v>0</v>
      </c>
      <c r="AB17" s="192">
        <v>0</v>
      </c>
      <c r="AC17" s="192">
        <v>0</v>
      </c>
      <c r="AD17" s="192">
        <v>0</v>
      </c>
      <c r="AE17" s="192">
        <v>0</v>
      </c>
      <c r="AF17" s="192">
        <v>0</v>
      </c>
      <c r="AG17" s="193">
        <v>0</v>
      </c>
      <c r="AH17" s="183"/>
      <c r="AI17" s="201">
        <f>+SUM(E17:AG17)</f>
        <v>2092.7999999999997</v>
      </c>
      <c r="AJ17" s="183"/>
    </row>
    <row r="18" spans="1:36" ht="15" x14ac:dyDescent="0.25">
      <c r="C18" s="186"/>
      <c r="E18" s="202">
        <f t="shared" ref="E18:AG18" si="2">SUM(E7:E17)</f>
        <v>192862.53</v>
      </c>
      <c r="F18" s="202">
        <f t="shared" si="2"/>
        <v>25970.669096820689</v>
      </c>
      <c r="G18" s="202">
        <f t="shared" si="2"/>
        <v>23889.622103323451</v>
      </c>
      <c r="H18" s="202">
        <f t="shared" si="2"/>
        <v>21600.47041047649</v>
      </c>
      <c r="I18" s="202">
        <f t="shared" si="2"/>
        <v>19082.403548344828</v>
      </c>
      <c r="J18" s="202">
        <f t="shared" si="2"/>
        <v>16312.530000000002</v>
      </c>
      <c r="K18" s="202">
        <f t="shared" si="2"/>
        <v>16312.530000000002</v>
      </c>
      <c r="L18" s="202">
        <f t="shared" si="2"/>
        <v>16312.530000000002</v>
      </c>
      <c r="M18" s="202">
        <f t="shared" si="2"/>
        <v>0</v>
      </c>
      <c r="N18" s="202">
        <f t="shared" si="2"/>
        <v>0</v>
      </c>
      <c r="O18" s="202">
        <f t="shared" si="2"/>
        <v>0</v>
      </c>
      <c r="P18" s="202">
        <f t="shared" si="2"/>
        <v>0</v>
      </c>
      <c r="Q18" s="202">
        <f t="shared" si="2"/>
        <v>0</v>
      </c>
      <c r="R18" s="202">
        <f t="shared" si="2"/>
        <v>0</v>
      </c>
      <c r="S18" s="202">
        <f t="shared" si="2"/>
        <v>0</v>
      </c>
      <c r="T18" s="202">
        <f t="shared" si="2"/>
        <v>0</v>
      </c>
      <c r="U18" s="202">
        <f t="shared" si="2"/>
        <v>0</v>
      </c>
      <c r="V18" s="202">
        <f t="shared" si="2"/>
        <v>0</v>
      </c>
      <c r="W18" s="202">
        <f t="shared" si="2"/>
        <v>0</v>
      </c>
      <c r="X18" s="202">
        <f t="shared" si="2"/>
        <v>0</v>
      </c>
      <c r="Y18" s="202">
        <f t="shared" si="2"/>
        <v>0</v>
      </c>
      <c r="Z18" s="202">
        <f t="shared" si="2"/>
        <v>0</v>
      </c>
      <c r="AA18" s="202">
        <f t="shared" si="2"/>
        <v>0</v>
      </c>
      <c r="AB18" s="202">
        <f t="shared" si="2"/>
        <v>0</v>
      </c>
      <c r="AC18" s="202">
        <f t="shared" si="2"/>
        <v>0</v>
      </c>
      <c r="AD18" s="202">
        <f t="shared" si="2"/>
        <v>0</v>
      </c>
      <c r="AE18" s="202">
        <f t="shared" si="2"/>
        <v>0</v>
      </c>
      <c r="AF18" s="202">
        <f t="shared" si="2"/>
        <v>0</v>
      </c>
      <c r="AG18" s="202">
        <f t="shared" si="2"/>
        <v>0</v>
      </c>
      <c r="AH18" s="183"/>
      <c r="AI18" s="203">
        <f>+SUM(E18:AG18)</f>
        <v>332343.28515896556</v>
      </c>
      <c r="AJ18" s="183"/>
    </row>
    <row r="19" spans="1:36" ht="15" x14ac:dyDescent="0.25">
      <c r="A19" s="183"/>
      <c r="C19" s="204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</row>
    <row r="20" spans="1:36" ht="15" x14ac:dyDescent="0.25">
      <c r="C20" s="186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183"/>
      <c r="AI20" s="183"/>
      <c r="AJ20" s="183"/>
    </row>
    <row r="21" spans="1:36" ht="15" x14ac:dyDescent="0.25">
      <c r="A21" s="181" t="s">
        <v>205</v>
      </c>
      <c r="E21" s="206">
        <f t="shared" ref="E21:AG21" si="3">1/(1+$C$3)^E5</f>
        <v>1</v>
      </c>
      <c r="F21" s="206">
        <f t="shared" si="3"/>
        <v>1</v>
      </c>
      <c r="G21" s="206">
        <f t="shared" si="3"/>
        <v>1</v>
      </c>
      <c r="H21" s="206">
        <f t="shared" si="3"/>
        <v>1</v>
      </c>
      <c r="I21" s="206">
        <f t="shared" si="3"/>
        <v>1</v>
      </c>
      <c r="J21" s="206">
        <f t="shared" si="3"/>
        <v>1</v>
      </c>
      <c r="K21" s="206">
        <f t="shared" si="3"/>
        <v>1</v>
      </c>
      <c r="L21" s="206">
        <f t="shared" si="3"/>
        <v>1</v>
      </c>
      <c r="M21" s="206">
        <f t="shared" si="3"/>
        <v>1</v>
      </c>
      <c r="N21" s="206">
        <f t="shared" si="3"/>
        <v>1</v>
      </c>
      <c r="O21" s="206">
        <f t="shared" si="3"/>
        <v>1</v>
      </c>
      <c r="P21" s="206">
        <f t="shared" si="3"/>
        <v>1</v>
      </c>
      <c r="Q21" s="206">
        <f t="shared" si="3"/>
        <v>1</v>
      </c>
      <c r="R21" s="206">
        <f t="shared" si="3"/>
        <v>1</v>
      </c>
      <c r="S21" s="206">
        <f t="shared" si="3"/>
        <v>1</v>
      </c>
      <c r="T21" s="206">
        <f t="shared" si="3"/>
        <v>1</v>
      </c>
      <c r="U21" s="206">
        <f t="shared" si="3"/>
        <v>1</v>
      </c>
      <c r="V21" s="206">
        <f t="shared" si="3"/>
        <v>1</v>
      </c>
      <c r="W21" s="206">
        <f t="shared" si="3"/>
        <v>1</v>
      </c>
      <c r="X21" s="206">
        <f t="shared" si="3"/>
        <v>1</v>
      </c>
      <c r="Y21" s="206">
        <f t="shared" si="3"/>
        <v>1</v>
      </c>
      <c r="Z21" s="206">
        <f t="shared" si="3"/>
        <v>1</v>
      </c>
      <c r="AA21" s="206">
        <f t="shared" si="3"/>
        <v>1</v>
      </c>
      <c r="AB21" s="206">
        <f t="shared" si="3"/>
        <v>1</v>
      </c>
      <c r="AC21" s="206">
        <f t="shared" si="3"/>
        <v>1</v>
      </c>
      <c r="AD21" s="206">
        <f t="shared" si="3"/>
        <v>1</v>
      </c>
      <c r="AE21" s="206">
        <f t="shared" si="3"/>
        <v>1</v>
      </c>
      <c r="AF21" s="206">
        <f t="shared" si="3"/>
        <v>1</v>
      </c>
      <c r="AG21" s="206">
        <f t="shared" si="3"/>
        <v>1</v>
      </c>
      <c r="AH21" s="183"/>
      <c r="AI21" s="183"/>
      <c r="AJ21" s="183"/>
    </row>
    <row r="22" spans="1:36" ht="15" x14ac:dyDescent="0.25">
      <c r="C22" s="207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183"/>
      <c r="AI22" s="183"/>
      <c r="AJ22" s="183"/>
    </row>
    <row r="23" spans="1:36" ht="15" x14ac:dyDescent="0.25">
      <c r="A23" s="260" t="s">
        <v>206</v>
      </c>
      <c r="B23" s="260"/>
      <c r="C23" s="181" t="s">
        <v>1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</row>
    <row r="24" spans="1:36" ht="15" x14ac:dyDescent="0.25">
      <c r="A24" s="238" t="s">
        <v>15</v>
      </c>
      <c r="B24" s="29" t="s">
        <v>145</v>
      </c>
      <c r="C24" s="186"/>
      <c r="E24" s="208">
        <f>E7*E$21</f>
        <v>110000</v>
      </c>
      <c r="F24" s="209">
        <f t="shared" ref="F24:AG33" si="4">F7*F$21</f>
        <v>0</v>
      </c>
      <c r="G24" s="209">
        <f t="shared" si="4"/>
        <v>0</v>
      </c>
      <c r="H24" s="209">
        <f t="shared" si="4"/>
        <v>0</v>
      </c>
      <c r="I24" s="209">
        <f t="shared" si="4"/>
        <v>0</v>
      </c>
      <c r="J24" s="209">
        <f t="shared" si="4"/>
        <v>0</v>
      </c>
      <c r="K24" s="209">
        <f t="shared" si="4"/>
        <v>0</v>
      </c>
      <c r="L24" s="209">
        <f t="shared" si="4"/>
        <v>0</v>
      </c>
      <c r="M24" s="209">
        <f t="shared" si="4"/>
        <v>0</v>
      </c>
      <c r="N24" s="209">
        <f t="shared" si="4"/>
        <v>0</v>
      </c>
      <c r="O24" s="209">
        <f t="shared" si="4"/>
        <v>0</v>
      </c>
      <c r="P24" s="209">
        <f t="shared" si="4"/>
        <v>0</v>
      </c>
      <c r="Q24" s="209">
        <f t="shared" si="4"/>
        <v>0</v>
      </c>
      <c r="R24" s="209">
        <f t="shared" si="4"/>
        <v>0</v>
      </c>
      <c r="S24" s="209">
        <f t="shared" si="4"/>
        <v>0</v>
      </c>
      <c r="T24" s="209">
        <f t="shared" si="4"/>
        <v>0</v>
      </c>
      <c r="U24" s="209">
        <f t="shared" si="4"/>
        <v>0</v>
      </c>
      <c r="V24" s="209">
        <f t="shared" si="4"/>
        <v>0</v>
      </c>
      <c r="W24" s="209">
        <f t="shared" si="4"/>
        <v>0</v>
      </c>
      <c r="X24" s="209">
        <f t="shared" si="4"/>
        <v>0</v>
      </c>
      <c r="Y24" s="209">
        <f t="shared" si="4"/>
        <v>0</v>
      </c>
      <c r="Z24" s="209">
        <f t="shared" si="4"/>
        <v>0</v>
      </c>
      <c r="AA24" s="209">
        <f t="shared" si="4"/>
        <v>0</v>
      </c>
      <c r="AB24" s="209">
        <f t="shared" si="4"/>
        <v>0</v>
      </c>
      <c r="AC24" s="209">
        <f t="shared" si="4"/>
        <v>0</v>
      </c>
      <c r="AD24" s="209">
        <f t="shared" si="4"/>
        <v>0</v>
      </c>
      <c r="AE24" s="209">
        <f t="shared" si="4"/>
        <v>0</v>
      </c>
      <c r="AF24" s="209">
        <f t="shared" si="4"/>
        <v>0</v>
      </c>
      <c r="AG24" s="210">
        <f t="shared" si="4"/>
        <v>0</v>
      </c>
      <c r="AH24" s="183"/>
      <c r="AI24" s="211">
        <f t="shared" ref="AI24:AI34" si="5">+SUM(E24:AG24)</f>
        <v>110000</v>
      </c>
      <c r="AJ24" s="183"/>
    </row>
    <row r="25" spans="1:36" ht="15" x14ac:dyDescent="0.25">
      <c r="A25" s="240"/>
      <c r="B25" s="112" t="s">
        <v>82</v>
      </c>
      <c r="C25" s="186"/>
      <c r="E25" s="212">
        <f t="shared" ref="E25:T33" si="6">E8*E$21</f>
        <v>0</v>
      </c>
      <c r="F25" s="213">
        <f t="shared" si="6"/>
        <v>0</v>
      </c>
      <c r="G25" s="213">
        <f t="shared" si="6"/>
        <v>0</v>
      </c>
      <c r="H25" s="213">
        <f t="shared" si="6"/>
        <v>0</v>
      </c>
      <c r="I25" s="213">
        <f t="shared" si="6"/>
        <v>0</v>
      </c>
      <c r="J25" s="213">
        <f t="shared" si="6"/>
        <v>0</v>
      </c>
      <c r="K25" s="213">
        <f t="shared" si="6"/>
        <v>0</v>
      </c>
      <c r="L25" s="213">
        <f t="shared" si="6"/>
        <v>0</v>
      </c>
      <c r="M25" s="213">
        <f t="shared" si="6"/>
        <v>0</v>
      </c>
      <c r="N25" s="213">
        <f t="shared" si="6"/>
        <v>0</v>
      </c>
      <c r="O25" s="213">
        <f t="shared" si="6"/>
        <v>0</v>
      </c>
      <c r="P25" s="213">
        <f t="shared" si="6"/>
        <v>0</v>
      </c>
      <c r="Q25" s="213">
        <f t="shared" si="6"/>
        <v>0</v>
      </c>
      <c r="R25" s="213">
        <f t="shared" si="6"/>
        <v>0</v>
      </c>
      <c r="S25" s="213">
        <f t="shared" si="6"/>
        <v>0</v>
      </c>
      <c r="T25" s="213">
        <f t="shared" si="6"/>
        <v>0</v>
      </c>
      <c r="U25" s="213">
        <f t="shared" si="4"/>
        <v>0</v>
      </c>
      <c r="V25" s="213">
        <f t="shared" si="4"/>
        <v>0</v>
      </c>
      <c r="W25" s="213">
        <f t="shared" si="4"/>
        <v>0</v>
      </c>
      <c r="X25" s="213">
        <f t="shared" si="4"/>
        <v>0</v>
      </c>
      <c r="Y25" s="213">
        <f t="shared" si="4"/>
        <v>0</v>
      </c>
      <c r="Z25" s="213">
        <f t="shared" si="4"/>
        <v>0</v>
      </c>
      <c r="AA25" s="213">
        <f t="shared" si="4"/>
        <v>0</v>
      </c>
      <c r="AB25" s="213">
        <f t="shared" si="4"/>
        <v>0</v>
      </c>
      <c r="AC25" s="213">
        <f t="shared" si="4"/>
        <v>0</v>
      </c>
      <c r="AD25" s="213">
        <f t="shared" si="4"/>
        <v>0</v>
      </c>
      <c r="AE25" s="213">
        <f t="shared" si="4"/>
        <v>0</v>
      </c>
      <c r="AF25" s="213">
        <f t="shared" si="4"/>
        <v>0</v>
      </c>
      <c r="AG25" s="214">
        <f t="shared" si="4"/>
        <v>0</v>
      </c>
      <c r="AH25" s="183"/>
      <c r="AI25" s="215">
        <f t="shared" si="5"/>
        <v>0</v>
      </c>
      <c r="AJ25" s="183"/>
    </row>
    <row r="26" spans="1:36" ht="15" x14ac:dyDescent="0.25">
      <c r="A26" s="238" t="s">
        <v>16</v>
      </c>
      <c r="B26" s="29" t="s">
        <v>119</v>
      </c>
      <c r="C26" s="186"/>
      <c r="E26" s="208">
        <f t="shared" si="6"/>
        <v>5500</v>
      </c>
      <c r="F26" s="209">
        <f t="shared" si="4"/>
        <v>0</v>
      </c>
      <c r="G26" s="209">
        <f t="shared" si="4"/>
        <v>0</v>
      </c>
      <c r="H26" s="209">
        <f t="shared" si="4"/>
        <v>0</v>
      </c>
      <c r="I26" s="209">
        <f t="shared" si="4"/>
        <v>0</v>
      </c>
      <c r="J26" s="209">
        <f t="shared" si="4"/>
        <v>0</v>
      </c>
      <c r="K26" s="209">
        <f t="shared" si="4"/>
        <v>0</v>
      </c>
      <c r="L26" s="209">
        <f t="shared" si="4"/>
        <v>0</v>
      </c>
      <c r="M26" s="209">
        <f t="shared" si="4"/>
        <v>0</v>
      </c>
      <c r="N26" s="209">
        <f t="shared" si="4"/>
        <v>0</v>
      </c>
      <c r="O26" s="209">
        <f t="shared" si="4"/>
        <v>0</v>
      </c>
      <c r="P26" s="209">
        <f t="shared" si="4"/>
        <v>0</v>
      </c>
      <c r="Q26" s="209">
        <f t="shared" si="4"/>
        <v>0</v>
      </c>
      <c r="R26" s="209">
        <f t="shared" si="4"/>
        <v>0</v>
      </c>
      <c r="S26" s="209">
        <f t="shared" si="4"/>
        <v>0</v>
      </c>
      <c r="T26" s="209">
        <f t="shared" si="4"/>
        <v>0</v>
      </c>
      <c r="U26" s="209">
        <f t="shared" si="4"/>
        <v>0</v>
      </c>
      <c r="V26" s="209">
        <f t="shared" si="4"/>
        <v>0</v>
      </c>
      <c r="W26" s="209">
        <f t="shared" si="4"/>
        <v>0</v>
      </c>
      <c r="X26" s="209">
        <f t="shared" si="4"/>
        <v>0</v>
      </c>
      <c r="Y26" s="209">
        <f t="shared" si="4"/>
        <v>0</v>
      </c>
      <c r="Z26" s="209">
        <f t="shared" si="4"/>
        <v>0</v>
      </c>
      <c r="AA26" s="209">
        <f t="shared" si="4"/>
        <v>0</v>
      </c>
      <c r="AB26" s="209">
        <f t="shared" si="4"/>
        <v>0</v>
      </c>
      <c r="AC26" s="209">
        <f t="shared" si="4"/>
        <v>0</v>
      </c>
      <c r="AD26" s="209">
        <f t="shared" si="4"/>
        <v>0</v>
      </c>
      <c r="AE26" s="209">
        <f t="shared" si="4"/>
        <v>0</v>
      </c>
      <c r="AF26" s="209">
        <f t="shared" si="4"/>
        <v>0</v>
      </c>
      <c r="AG26" s="210">
        <f t="shared" si="4"/>
        <v>0</v>
      </c>
      <c r="AH26" s="183"/>
      <c r="AI26" s="211">
        <f t="shared" si="5"/>
        <v>5500</v>
      </c>
      <c r="AJ26" s="183"/>
    </row>
    <row r="27" spans="1:36" ht="15" x14ac:dyDescent="0.25">
      <c r="A27" s="239"/>
      <c r="B27" s="119" t="s">
        <v>113</v>
      </c>
      <c r="C27" s="186"/>
      <c r="E27" s="216">
        <f t="shared" si="6"/>
        <v>25300</v>
      </c>
      <c r="F27" s="217">
        <f t="shared" si="4"/>
        <v>0</v>
      </c>
      <c r="G27" s="217">
        <f t="shared" si="4"/>
        <v>0</v>
      </c>
      <c r="H27" s="217">
        <f t="shared" si="4"/>
        <v>0</v>
      </c>
      <c r="I27" s="217">
        <f t="shared" si="4"/>
        <v>0</v>
      </c>
      <c r="J27" s="217">
        <f t="shared" si="4"/>
        <v>0</v>
      </c>
      <c r="K27" s="217">
        <f t="shared" si="4"/>
        <v>0</v>
      </c>
      <c r="L27" s="217">
        <f t="shared" si="4"/>
        <v>0</v>
      </c>
      <c r="M27" s="217">
        <f t="shared" si="4"/>
        <v>0</v>
      </c>
      <c r="N27" s="217">
        <f t="shared" si="4"/>
        <v>0</v>
      </c>
      <c r="O27" s="217">
        <f t="shared" si="4"/>
        <v>0</v>
      </c>
      <c r="P27" s="217">
        <f t="shared" si="4"/>
        <v>0</v>
      </c>
      <c r="Q27" s="217">
        <f t="shared" si="4"/>
        <v>0</v>
      </c>
      <c r="R27" s="217">
        <f t="shared" si="4"/>
        <v>0</v>
      </c>
      <c r="S27" s="217">
        <f t="shared" si="4"/>
        <v>0</v>
      </c>
      <c r="T27" s="217">
        <f t="shared" si="4"/>
        <v>0</v>
      </c>
      <c r="U27" s="217">
        <f t="shared" si="4"/>
        <v>0</v>
      </c>
      <c r="V27" s="217">
        <f t="shared" si="4"/>
        <v>0</v>
      </c>
      <c r="W27" s="217">
        <f t="shared" si="4"/>
        <v>0</v>
      </c>
      <c r="X27" s="217">
        <f t="shared" si="4"/>
        <v>0</v>
      </c>
      <c r="Y27" s="217">
        <f t="shared" si="4"/>
        <v>0</v>
      </c>
      <c r="Z27" s="217">
        <f t="shared" si="4"/>
        <v>0</v>
      </c>
      <c r="AA27" s="217">
        <f t="shared" si="4"/>
        <v>0</v>
      </c>
      <c r="AB27" s="217">
        <f t="shared" si="4"/>
        <v>0</v>
      </c>
      <c r="AC27" s="217">
        <f t="shared" si="4"/>
        <v>0</v>
      </c>
      <c r="AD27" s="217">
        <f t="shared" si="4"/>
        <v>0</v>
      </c>
      <c r="AE27" s="217">
        <f t="shared" si="4"/>
        <v>0</v>
      </c>
      <c r="AF27" s="217">
        <f t="shared" si="4"/>
        <v>0</v>
      </c>
      <c r="AG27" s="218">
        <f t="shared" si="4"/>
        <v>0</v>
      </c>
      <c r="AH27" s="183"/>
      <c r="AI27" s="219">
        <f t="shared" si="5"/>
        <v>25300</v>
      </c>
      <c r="AJ27" s="183"/>
    </row>
    <row r="28" spans="1:36" ht="15" x14ac:dyDescent="0.25">
      <c r="A28" s="239"/>
      <c r="B28" s="112" t="s">
        <v>71</v>
      </c>
      <c r="C28" s="186"/>
      <c r="E28" s="216">
        <f t="shared" si="6"/>
        <v>24200</v>
      </c>
      <c r="F28" s="217">
        <f t="shared" si="4"/>
        <v>0</v>
      </c>
      <c r="G28" s="217">
        <f t="shared" si="4"/>
        <v>0</v>
      </c>
      <c r="H28" s="217">
        <f t="shared" si="4"/>
        <v>0</v>
      </c>
      <c r="I28" s="217">
        <f t="shared" si="4"/>
        <v>0</v>
      </c>
      <c r="J28" s="217">
        <f t="shared" si="4"/>
        <v>0</v>
      </c>
      <c r="K28" s="217">
        <f t="shared" si="4"/>
        <v>0</v>
      </c>
      <c r="L28" s="217">
        <f t="shared" si="4"/>
        <v>0</v>
      </c>
      <c r="M28" s="217">
        <f t="shared" si="4"/>
        <v>0</v>
      </c>
      <c r="N28" s="217">
        <f t="shared" si="4"/>
        <v>0</v>
      </c>
      <c r="O28" s="217">
        <f t="shared" si="4"/>
        <v>0</v>
      </c>
      <c r="P28" s="217">
        <f t="shared" si="4"/>
        <v>0</v>
      </c>
      <c r="Q28" s="217">
        <f t="shared" si="4"/>
        <v>0</v>
      </c>
      <c r="R28" s="217">
        <f t="shared" si="4"/>
        <v>0</v>
      </c>
      <c r="S28" s="217">
        <f t="shared" si="4"/>
        <v>0</v>
      </c>
      <c r="T28" s="217">
        <f t="shared" si="4"/>
        <v>0</v>
      </c>
      <c r="U28" s="217">
        <f t="shared" si="4"/>
        <v>0</v>
      </c>
      <c r="V28" s="217">
        <f t="shared" si="4"/>
        <v>0</v>
      </c>
      <c r="W28" s="217">
        <f t="shared" si="4"/>
        <v>0</v>
      </c>
      <c r="X28" s="217">
        <f t="shared" si="4"/>
        <v>0</v>
      </c>
      <c r="Y28" s="217">
        <f t="shared" si="4"/>
        <v>0</v>
      </c>
      <c r="Z28" s="217">
        <f t="shared" si="4"/>
        <v>0</v>
      </c>
      <c r="AA28" s="217">
        <f t="shared" si="4"/>
        <v>0</v>
      </c>
      <c r="AB28" s="217">
        <f t="shared" si="4"/>
        <v>0</v>
      </c>
      <c r="AC28" s="217">
        <f t="shared" si="4"/>
        <v>0</v>
      </c>
      <c r="AD28" s="217">
        <f t="shared" si="4"/>
        <v>0</v>
      </c>
      <c r="AE28" s="217">
        <f t="shared" si="4"/>
        <v>0</v>
      </c>
      <c r="AF28" s="217">
        <f t="shared" si="4"/>
        <v>0</v>
      </c>
      <c r="AG28" s="218">
        <f t="shared" si="4"/>
        <v>0</v>
      </c>
      <c r="AH28" s="183"/>
      <c r="AI28" s="219">
        <f t="shared" si="5"/>
        <v>24200</v>
      </c>
      <c r="AJ28" s="183"/>
    </row>
    <row r="29" spans="1:36" ht="15" x14ac:dyDescent="0.25">
      <c r="A29" s="239"/>
      <c r="B29" s="112" t="s">
        <v>103</v>
      </c>
      <c r="C29" s="186"/>
      <c r="E29" s="216">
        <f t="shared" si="6"/>
        <v>0</v>
      </c>
      <c r="F29" s="217">
        <f t="shared" si="4"/>
        <v>0</v>
      </c>
      <c r="G29" s="217">
        <f t="shared" si="4"/>
        <v>0</v>
      </c>
      <c r="H29" s="217">
        <f t="shared" si="4"/>
        <v>0</v>
      </c>
      <c r="I29" s="217">
        <f t="shared" si="4"/>
        <v>0</v>
      </c>
      <c r="J29" s="217">
        <f t="shared" si="4"/>
        <v>0</v>
      </c>
      <c r="K29" s="217">
        <f t="shared" si="4"/>
        <v>0</v>
      </c>
      <c r="L29" s="217">
        <f t="shared" si="4"/>
        <v>0</v>
      </c>
      <c r="M29" s="217">
        <f t="shared" si="4"/>
        <v>0</v>
      </c>
      <c r="N29" s="217">
        <f t="shared" si="4"/>
        <v>0</v>
      </c>
      <c r="O29" s="217">
        <f t="shared" si="4"/>
        <v>0</v>
      </c>
      <c r="P29" s="217">
        <f t="shared" si="4"/>
        <v>0</v>
      </c>
      <c r="Q29" s="217">
        <f t="shared" si="4"/>
        <v>0</v>
      </c>
      <c r="R29" s="217">
        <f t="shared" si="4"/>
        <v>0</v>
      </c>
      <c r="S29" s="217">
        <f t="shared" si="4"/>
        <v>0</v>
      </c>
      <c r="T29" s="217">
        <f t="shared" si="4"/>
        <v>0</v>
      </c>
      <c r="U29" s="217">
        <f t="shared" si="4"/>
        <v>0</v>
      </c>
      <c r="V29" s="217">
        <f t="shared" si="4"/>
        <v>0</v>
      </c>
      <c r="W29" s="217">
        <f t="shared" si="4"/>
        <v>0</v>
      </c>
      <c r="X29" s="217">
        <f t="shared" si="4"/>
        <v>0</v>
      </c>
      <c r="Y29" s="217">
        <f t="shared" si="4"/>
        <v>0</v>
      </c>
      <c r="Z29" s="217">
        <f t="shared" si="4"/>
        <v>0</v>
      </c>
      <c r="AA29" s="217">
        <f t="shared" si="4"/>
        <v>0</v>
      </c>
      <c r="AB29" s="217">
        <f t="shared" si="4"/>
        <v>0</v>
      </c>
      <c r="AC29" s="217">
        <f t="shared" si="4"/>
        <v>0</v>
      </c>
      <c r="AD29" s="217">
        <f t="shared" si="4"/>
        <v>0</v>
      </c>
      <c r="AE29" s="217">
        <f t="shared" si="4"/>
        <v>0</v>
      </c>
      <c r="AF29" s="217">
        <f t="shared" si="4"/>
        <v>0</v>
      </c>
      <c r="AG29" s="218">
        <f t="shared" si="4"/>
        <v>0</v>
      </c>
      <c r="AH29" s="183"/>
      <c r="AI29" s="219">
        <f t="shared" si="5"/>
        <v>0</v>
      </c>
      <c r="AJ29" s="183"/>
    </row>
    <row r="30" spans="1:36" ht="15" x14ac:dyDescent="0.25">
      <c r="A30" s="239"/>
      <c r="B30" s="112" t="s">
        <v>114</v>
      </c>
      <c r="C30" s="186"/>
      <c r="E30" s="216">
        <f t="shared" si="6"/>
        <v>2475</v>
      </c>
      <c r="F30" s="217">
        <f t="shared" si="4"/>
        <v>2475</v>
      </c>
      <c r="G30" s="217">
        <f t="shared" si="4"/>
        <v>2475</v>
      </c>
      <c r="H30" s="217">
        <f t="shared" si="4"/>
        <v>2475</v>
      </c>
      <c r="I30" s="217">
        <f t="shared" si="4"/>
        <v>2475</v>
      </c>
      <c r="J30" s="217">
        <f t="shared" si="4"/>
        <v>2475</v>
      </c>
      <c r="K30" s="217">
        <f t="shared" si="4"/>
        <v>2475</v>
      </c>
      <c r="L30" s="217">
        <f t="shared" si="4"/>
        <v>2475</v>
      </c>
      <c r="M30" s="217">
        <f t="shared" si="4"/>
        <v>0</v>
      </c>
      <c r="N30" s="217">
        <f t="shared" si="4"/>
        <v>0</v>
      </c>
      <c r="O30" s="217">
        <f t="shared" si="4"/>
        <v>0</v>
      </c>
      <c r="P30" s="217">
        <f t="shared" si="4"/>
        <v>0</v>
      </c>
      <c r="Q30" s="217">
        <f t="shared" si="4"/>
        <v>0</v>
      </c>
      <c r="R30" s="217">
        <f t="shared" si="4"/>
        <v>0</v>
      </c>
      <c r="S30" s="217">
        <f t="shared" si="4"/>
        <v>0</v>
      </c>
      <c r="T30" s="217">
        <f t="shared" si="4"/>
        <v>0</v>
      </c>
      <c r="U30" s="217">
        <f t="shared" si="4"/>
        <v>0</v>
      </c>
      <c r="V30" s="217">
        <f t="shared" si="4"/>
        <v>0</v>
      </c>
      <c r="W30" s="217">
        <f t="shared" si="4"/>
        <v>0</v>
      </c>
      <c r="X30" s="217">
        <f t="shared" si="4"/>
        <v>0</v>
      </c>
      <c r="Y30" s="217">
        <f t="shared" si="4"/>
        <v>0</v>
      </c>
      <c r="Z30" s="217">
        <f t="shared" si="4"/>
        <v>0</v>
      </c>
      <c r="AA30" s="217">
        <f t="shared" si="4"/>
        <v>0</v>
      </c>
      <c r="AB30" s="217">
        <f t="shared" si="4"/>
        <v>0</v>
      </c>
      <c r="AC30" s="217">
        <f t="shared" si="4"/>
        <v>0</v>
      </c>
      <c r="AD30" s="217">
        <f t="shared" si="4"/>
        <v>0</v>
      </c>
      <c r="AE30" s="217">
        <f t="shared" si="4"/>
        <v>0</v>
      </c>
      <c r="AF30" s="217">
        <f t="shared" si="4"/>
        <v>0</v>
      </c>
      <c r="AG30" s="218">
        <f t="shared" si="4"/>
        <v>0</v>
      </c>
      <c r="AH30" s="183"/>
      <c r="AI30" s="219">
        <f t="shared" si="5"/>
        <v>19800</v>
      </c>
      <c r="AJ30" s="183"/>
    </row>
    <row r="31" spans="1:36" ht="15" x14ac:dyDescent="0.25">
      <c r="A31" s="239"/>
      <c r="B31" s="30" t="s">
        <v>87</v>
      </c>
      <c r="C31" s="207"/>
      <c r="E31" s="212">
        <f t="shared" si="6"/>
        <v>11550</v>
      </c>
      <c r="F31" s="213">
        <f t="shared" si="4"/>
        <v>9658.1390968206906</v>
      </c>
      <c r="G31" s="213">
        <f t="shared" si="4"/>
        <v>7577.0921033234499</v>
      </c>
      <c r="H31" s="213">
        <f t="shared" si="4"/>
        <v>5287.9404104764872</v>
      </c>
      <c r="I31" s="213">
        <f t="shared" si="4"/>
        <v>2769.8735483448263</v>
      </c>
      <c r="J31" s="213">
        <f t="shared" si="4"/>
        <v>0</v>
      </c>
      <c r="K31" s="213">
        <f t="shared" si="4"/>
        <v>0</v>
      </c>
      <c r="L31" s="213">
        <f t="shared" si="4"/>
        <v>0</v>
      </c>
      <c r="M31" s="213">
        <f t="shared" si="4"/>
        <v>0</v>
      </c>
      <c r="N31" s="213">
        <f t="shared" si="4"/>
        <v>0</v>
      </c>
      <c r="O31" s="213">
        <f t="shared" si="4"/>
        <v>0</v>
      </c>
      <c r="P31" s="213">
        <f t="shared" si="4"/>
        <v>0</v>
      </c>
      <c r="Q31" s="213">
        <f t="shared" si="4"/>
        <v>0</v>
      </c>
      <c r="R31" s="213">
        <f t="shared" si="4"/>
        <v>0</v>
      </c>
      <c r="S31" s="213">
        <f t="shared" si="4"/>
        <v>0</v>
      </c>
      <c r="T31" s="213">
        <f t="shared" si="4"/>
        <v>0</v>
      </c>
      <c r="U31" s="213">
        <f t="shared" si="4"/>
        <v>0</v>
      </c>
      <c r="V31" s="213">
        <f t="shared" si="4"/>
        <v>0</v>
      </c>
      <c r="W31" s="213">
        <f t="shared" si="4"/>
        <v>0</v>
      </c>
      <c r="X31" s="213">
        <f t="shared" si="4"/>
        <v>0</v>
      </c>
      <c r="Y31" s="213">
        <f t="shared" si="4"/>
        <v>0</v>
      </c>
      <c r="Z31" s="213">
        <f t="shared" si="4"/>
        <v>0</v>
      </c>
      <c r="AA31" s="213">
        <f t="shared" si="4"/>
        <v>0</v>
      </c>
      <c r="AB31" s="213">
        <f t="shared" si="4"/>
        <v>0</v>
      </c>
      <c r="AC31" s="213">
        <f t="shared" si="4"/>
        <v>0</v>
      </c>
      <c r="AD31" s="213">
        <f t="shared" si="4"/>
        <v>0</v>
      </c>
      <c r="AE31" s="213">
        <f t="shared" si="4"/>
        <v>0</v>
      </c>
      <c r="AF31" s="213">
        <f t="shared" si="4"/>
        <v>0</v>
      </c>
      <c r="AG31" s="214">
        <f t="shared" si="4"/>
        <v>0</v>
      </c>
      <c r="AH31" s="183"/>
      <c r="AI31" s="215">
        <f t="shared" si="5"/>
        <v>36843.045158965455</v>
      </c>
      <c r="AJ31" s="183"/>
    </row>
    <row r="32" spans="1:36" ht="15" x14ac:dyDescent="0.25">
      <c r="A32" s="238" t="s">
        <v>17</v>
      </c>
      <c r="B32" s="112" t="s">
        <v>40</v>
      </c>
      <c r="C32" s="207"/>
      <c r="E32" s="208">
        <f t="shared" si="6"/>
        <v>2400</v>
      </c>
      <c r="F32" s="209">
        <f t="shared" si="4"/>
        <v>2400</v>
      </c>
      <c r="G32" s="209">
        <f t="shared" si="4"/>
        <v>2400</v>
      </c>
      <c r="H32" s="209">
        <f t="shared" si="4"/>
        <v>2400</v>
      </c>
      <c r="I32" s="209">
        <f t="shared" si="4"/>
        <v>2400</v>
      </c>
      <c r="J32" s="209">
        <f t="shared" si="4"/>
        <v>2400</v>
      </c>
      <c r="K32" s="209">
        <f t="shared" si="4"/>
        <v>2400</v>
      </c>
      <c r="L32" s="209">
        <f t="shared" si="4"/>
        <v>2400</v>
      </c>
      <c r="M32" s="209">
        <f t="shared" si="4"/>
        <v>0</v>
      </c>
      <c r="N32" s="209">
        <f t="shared" si="4"/>
        <v>0</v>
      </c>
      <c r="O32" s="209">
        <f t="shared" si="4"/>
        <v>0</v>
      </c>
      <c r="P32" s="209">
        <f t="shared" si="4"/>
        <v>0</v>
      </c>
      <c r="Q32" s="209">
        <f t="shared" si="4"/>
        <v>0</v>
      </c>
      <c r="R32" s="209">
        <f t="shared" si="4"/>
        <v>0</v>
      </c>
      <c r="S32" s="209">
        <f t="shared" si="4"/>
        <v>0</v>
      </c>
      <c r="T32" s="209">
        <f t="shared" si="4"/>
        <v>0</v>
      </c>
      <c r="U32" s="209">
        <f t="shared" si="4"/>
        <v>0</v>
      </c>
      <c r="V32" s="209">
        <f t="shared" si="4"/>
        <v>0</v>
      </c>
      <c r="W32" s="209">
        <f t="shared" si="4"/>
        <v>0</v>
      </c>
      <c r="X32" s="209">
        <f t="shared" si="4"/>
        <v>0</v>
      </c>
      <c r="Y32" s="209">
        <f t="shared" si="4"/>
        <v>0</v>
      </c>
      <c r="Z32" s="209">
        <f t="shared" si="4"/>
        <v>0</v>
      </c>
      <c r="AA32" s="209">
        <f t="shared" si="4"/>
        <v>0</v>
      </c>
      <c r="AB32" s="209">
        <f t="shared" si="4"/>
        <v>0</v>
      </c>
      <c r="AC32" s="209">
        <f t="shared" si="4"/>
        <v>0</v>
      </c>
      <c r="AD32" s="209">
        <f t="shared" si="4"/>
        <v>0</v>
      </c>
      <c r="AE32" s="209">
        <f t="shared" si="4"/>
        <v>0</v>
      </c>
      <c r="AF32" s="209">
        <f t="shared" si="4"/>
        <v>0</v>
      </c>
      <c r="AG32" s="210">
        <f t="shared" si="4"/>
        <v>0</v>
      </c>
      <c r="AH32" s="183"/>
      <c r="AI32" s="211">
        <f t="shared" si="5"/>
        <v>19200</v>
      </c>
      <c r="AJ32" s="183"/>
    </row>
    <row r="33" spans="1:36" ht="15" x14ac:dyDescent="0.25">
      <c r="A33" s="240"/>
      <c r="B33" s="30" t="s">
        <v>88</v>
      </c>
      <c r="C33" s="207"/>
      <c r="E33" s="212">
        <f t="shared" si="6"/>
        <v>11175.930000000002</v>
      </c>
      <c r="F33" s="213">
        <f t="shared" si="4"/>
        <v>11175.930000000002</v>
      </c>
      <c r="G33" s="213">
        <f t="shared" si="4"/>
        <v>11175.930000000002</v>
      </c>
      <c r="H33" s="213">
        <f t="shared" si="4"/>
        <v>11175.930000000002</v>
      </c>
      <c r="I33" s="213">
        <f t="shared" si="4"/>
        <v>11175.930000000002</v>
      </c>
      <c r="J33" s="213">
        <f t="shared" si="4"/>
        <v>11175.930000000002</v>
      </c>
      <c r="K33" s="213">
        <f t="shared" si="4"/>
        <v>11175.930000000002</v>
      </c>
      <c r="L33" s="213">
        <f t="shared" si="4"/>
        <v>11175.930000000002</v>
      </c>
      <c r="M33" s="213">
        <f t="shared" si="4"/>
        <v>0</v>
      </c>
      <c r="N33" s="213">
        <f t="shared" si="4"/>
        <v>0</v>
      </c>
      <c r="O33" s="213">
        <f t="shared" si="4"/>
        <v>0</v>
      </c>
      <c r="P33" s="213">
        <f t="shared" si="4"/>
        <v>0</v>
      </c>
      <c r="Q33" s="213">
        <f t="shared" si="4"/>
        <v>0</v>
      </c>
      <c r="R33" s="213">
        <f t="shared" si="4"/>
        <v>0</v>
      </c>
      <c r="S33" s="213">
        <f t="shared" si="4"/>
        <v>0</v>
      </c>
      <c r="T33" s="213">
        <f t="shared" si="4"/>
        <v>0</v>
      </c>
      <c r="U33" s="213">
        <f t="shared" si="4"/>
        <v>0</v>
      </c>
      <c r="V33" s="213">
        <f t="shared" si="4"/>
        <v>0</v>
      </c>
      <c r="W33" s="213">
        <f t="shared" si="4"/>
        <v>0</v>
      </c>
      <c r="X33" s="213">
        <f t="shared" ref="N33:AG34" si="7">X16*X$21</f>
        <v>0</v>
      </c>
      <c r="Y33" s="213">
        <f t="shared" si="7"/>
        <v>0</v>
      </c>
      <c r="Z33" s="213">
        <f t="shared" si="7"/>
        <v>0</v>
      </c>
      <c r="AA33" s="213">
        <f t="shared" si="7"/>
        <v>0</v>
      </c>
      <c r="AB33" s="213">
        <f t="shared" si="7"/>
        <v>0</v>
      </c>
      <c r="AC33" s="213">
        <f t="shared" si="7"/>
        <v>0</v>
      </c>
      <c r="AD33" s="213">
        <f t="shared" si="7"/>
        <v>0</v>
      </c>
      <c r="AE33" s="213">
        <f t="shared" si="7"/>
        <v>0</v>
      </c>
      <c r="AF33" s="213">
        <f t="shared" si="7"/>
        <v>0</v>
      </c>
      <c r="AG33" s="214">
        <f t="shared" si="7"/>
        <v>0</v>
      </c>
      <c r="AH33" s="183"/>
      <c r="AI33" s="215">
        <f t="shared" si="5"/>
        <v>89407.440000000031</v>
      </c>
      <c r="AJ33" s="183"/>
    </row>
    <row r="34" spans="1:36" ht="15" x14ac:dyDescent="0.25">
      <c r="A34" s="69" t="s">
        <v>204</v>
      </c>
      <c r="B34" s="70" t="s">
        <v>90</v>
      </c>
      <c r="E34" s="220">
        <f t="shared" ref="E34:M34" si="8">E17*E$21</f>
        <v>261.60000000000002</v>
      </c>
      <c r="F34" s="221">
        <f t="shared" si="8"/>
        <v>261.60000000000002</v>
      </c>
      <c r="G34" s="221">
        <f t="shared" si="8"/>
        <v>261.60000000000002</v>
      </c>
      <c r="H34" s="221">
        <f t="shared" si="8"/>
        <v>261.60000000000002</v>
      </c>
      <c r="I34" s="221">
        <f t="shared" si="8"/>
        <v>261.60000000000002</v>
      </c>
      <c r="J34" s="221">
        <f t="shared" si="8"/>
        <v>261.60000000000002</v>
      </c>
      <c r="K34" s="221">
        <f t="shared" si="8"/>
        <v>261.60000000000002</v>
      </c>
      <c r="L34" s="221">
        <f t="shared" si="8"/>
        <v>261.60000000000002</v>
      </c>
      <c r="M34" s="221">
        <f t="shared" si="8"/>
        <v>0</v>
      </c>
      <c r="N34" s="221">
        <f t="shared" si="7"/>
        <v>0</v>
      </c>
      <c r="O34" s="221">
        <f t="shared" si="7"/>
        <v>0</v>
      </c>
      <c r="P34" s="221">
        <f t="shared" si="7"/>
        <v>0</v>
      </c>
      <c r="Q34" s="221">
        <f t="shared" si="7"/>
        <v>0</v>
      </c>
      <c r="R34" s="221">
        <f t="shared" si="7"/>
        <v>0</v>
      </c>
      <c r="S34" s="221">
        <f t="shared" si="7"/>
        <v>0</v>
      </c>
      <c r="T34" s="221">
        <f t="shared" si="7"/>
        <v>0</v>
      </c>
      <c r="U34" s="221">
        <f t="shared" si="7"/>
        <v>0</v>
      </c>
      <c r="V34" s="221">
        <f t="shared" si="7"/>
        <v>0</v>
      </c>
      <c r="W34" s="221">
        <f t="shared" si="7"/>
        <v>0</v>
      </c>
      <c r="X34" s="221">
        <f t="shared" si="7"/>
        <v>0</v>
      </c>
      <c r="Y34" s="221">
        <f t="shared" si="7"/>
        <v>0</v>
      </c>
      <c r="Z34" s="221">
        <f t="shared" si="7"/>
        <v>0</v>
      </c>
      <c r="AA34" s="221">
        <f t="shared" si="7"/>
        <v>0</v>
      </c>
      <c r="AB34" s="221">
        <f t="shared" si="7"/>
        <v>0</v>
      </c>
      <c r="AC34" s="221">
        <f t="shared" si="7"/>
        <v>0</v>
      </c>
      <c r="AD34" s="221">
        <f t="shared" si="7"/>
        <v>0</v>
      </c>
      <c r="AE34" s="221">
        <f t="shared" si="7"/>
        <v>0</v>
      </c>
      <c r="AF34" s="221">
        <f t="shared" si="7"/>
        <v>0</v>
      </c>
      <c r="AG34" s="222">
        <f t="shared" si="7"/>
        <v>0</v>
      </c>
      <c r="AI34" s="223">
        <f t="shared" si="5"/>
        <v>2092.7999999999997</v>
      </c>
      <c r="AJ34" s="183"/>
    </row>
    <row r="35" spans="1:36" ht="14.45" customHeight="1" x14ac:dyDescent="0.25">
      <c r="B35" s="181" t="s">
        <v>203</v>
      </c>
      <c r="C35" s="186"/>
      <c r="E35" s="224">
        <f>SUM(E24:E34)</f>
        <v>192862.53</v>
      </c>
      <c r="F35" s="224">
        <f t="shared" ref="F35:AG35" si="9">SUM(F24:F34)</f>
        <v>25970.669096820689</v>
      </c>
      <c r="G35" s="224">
        <f t="shared" si="9"/>
        <v>23889.622103323451</v>
      </c>
      <c r="H35" s="224">
        <f t="shared" si="9"/>
        <v>21600.47041047649</v>
      </c>
      <c r="I35" s="224">
        <f t="shared" si="9"/>
        <v>19082.403548344828</v>
      </c>
      <c r="J35" s="224">
        <f t="shared" si="9"/>
        <v>16312.530000000002</v>
      </c>
      <c r="K35" s="224">
        <f t="shared" si="9"/>
        <v>16312.530000000002</v>
      </c>
      <c r="L35" s="224">
        <f t="shared" si="9"/>
        <v>16312.530000000002</v>
      </c>
      <c r="M35" s="224">
        <f t="shared" si="9"/>
        <v>0</v>
      </c>
      <c r="N35" s="224">
        <f t="shared" si="9"/>
        <v>0</v>
      </c>
      <c r="O35" s="224">
        <f t="shared" si="9"/>
        <v>0</v>
      </c>
      <c r="P35" s="224">
        <f t="shared" si="9"/>
        <v>0</v>
      </c>
      <c r="Q35" s="224">
        <f t="shared" si="9"/>
        <v>0</v>
      </c>
      <c r="R35" s="224">
        <f t="shared" si="9"/>
        <v>0</v>
      </c>
      <c r="S35" s="224">
        <f t="shared" si="9"/>
        <v>0</v>
      </c>
      <c r="T35" s="224">
        <f t="shared" si="9"/>
        <v>0</v>
      </c>
      <c r="U35" s="224">
        <f t="shared" si="9"/>
        <v>0</v>
      </c>
      <c r="V35" s="224">
        <f t="shared" si="9"/>
        <v>0</v>
      </c>
      <c r="W35" s="224">
        <f t="shared" si="9"/>
        <v>0</v>
      </c>
      <c r="X35" s="224">
        <f t="shared" si="9"/>
        <v>0</v>
      </c>
      <c r="Y35" s="224">
        <f t="shared" si="9"/>
        <v>0</v>
      </c>
      <c r="Z35" s="224">
        <f t="shared" si="9"/>
        <v>0</v>
      </c>
      <c r="AA35" s="224">
        <f t="shared" si="9"/>
        <v>0</v>
      </c>
      <c r="AB35" s="224">
        <f t="shared" si="9"/>
        <v>0</v>
      </c>
      <c r="AC35" s="224">
        <f t="shared" si="9"/>
        <v>0</v>
      </c>
      <c r="AD35" s="224">
        <f t="shared" si="9"/>
        <v>0</v>
      </c>
      <c r="AE35" s="224">
        <f t="shared" si="9"/>
        <v>0</v>
      </c>
      <c r="AF35" s="224">
        <f t="shared" si="9"/>
        <v>0</v>
      </c>
      <c r="AG35" s="224">
        <f t="shared" si="9"/>
        <v>0</v>
      </c>
      <c r="AH35" s="183"/>
      <c r="AI35" s="225">
        <f>+SUM(E35:AG35)</f>
        <v>332343.28515896556</v>
      </c>
    </row>
    <row r="36" spans="1:36" ht="14.45" customHeight="1" x14ac:dyDescent="0.25"/>
    <row r="37" spans="1:36" ht="14.45" customHeight="1" x14ac:dyDescent="0.25"/>
    <row r="38" spans="1:36" ht="14.45" customHeight="1" x14ac:dyDescent="0.25"/>
    <row r="39" spans="1:36" ht="14.45" customHeight="1" x14ac:dyDescent="0.25">
      <c r="A39" s="255" t="s">
        <v>208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</row>
    <row r="40" spans="1:36" ht="14.45" customHeight="1" x14ac:dyDescent="0.25">
      <c r="A40" s="96"/>
      <c r="E40" s="182">
        <v>0</v>
      </c>
      <c r="F40" s="182">
        <v>1</v>
      </c>
      <c r="G40" s="182">
        <v>2</v>
      </c>
      <c r="H40" s="182">
        <v>3</v>
      </c>
      <c r="I40" s="182">
        <v>4</v>
      </c>
      <c r="J40" s="182">
        <v>5</v>
      </c>
      <c r="K40" s="182">
        <v>6</v>
      </c>
      <c r="L40" s="182">
        <v>7</v>
      </c>
      <c r="M40" s="182">
        <v>8</v>
      </c>
      <c r="N40" s="182">
        <v>9</v>
      </c>
      <c r="O40" s="182">
        <v>10</v>
      </c>
      <c r="P40" s="182">
        <v>11</v>
      </c>
      <c r="Q40" s="182">
        <v>12</v>
      </c>
      <c r="R40" s="182">
        <v>13</v>
      </c>
      <c r="S40" s="182">
        <v>14</v>
      </c>
      <c r="T40" s="182">
        <v>15</v>
      </c>
      <c r="U40" s="182">
        <v>16</v>
      </c>
      <c r="V40" s="182">
        <v>17</v>
      </c>
      <c r="W40" s="182">
        <v>18</v>
      </c>
      <c r="X40" s="182">
        <v>19</v>
      </c>
      <c r="Y40" s="182">
        <v>20</v>
      </c>
      <c r="Z40" s="182">
        <v>21</v>
      </c>
      <c r="AA40" s="182">
        <v>22</v>
      </c>
      <c r="AB40" s="182">
        <v>23</v>
      </c>
      <c r="AC40" s="182">
        <v>24</v>
      </c>
      <c r="AD40" s="182">
        <v>25</v>
      </c>
      <c r="AE40" s="182">
        <v>26</v>
      </c>
      <c r="AF40" s="182">
        <v>27</v>
      </c>
      <c r="AG40" s="182">
        <v>28</v>
      </c>
    </row>
    <row r="41" spans="1:36" ht="14.45" customHeight="1" x14ac:dyDescent="0.25">
      <c r="A41" s="259" t="s">
        <v>202</v>
      </c>
      <c r="B41" s="259"/>
      <c r="C41" s="181" t="s">
        <v>1</v>
      </c>
      <c r="E41" s="184">
        <v>2022</v>
      </c>
      <c r="F41" s="184">
        <f>+E41+1</f>
        <v>2023</v>
      </c>
      <c r="G41" s="185">
        <f t="shared" ref="G41" si="10">+F41+1</f>
        <v>2024</v>
      </c>
      <c r="H41" s="185">
        <f t="shared" ref="H41" si="11">+G41+1</f>
        <v>2025</v>
      </c>
      <c r="I41" s="185">
        <f t="shared" ref="I41" si="12">+H41+1</f>
        <v>2026</v>
      </c>
      <c r="J41" s="185">
        <f t="shared" ref="J41" si="13">+I41+1</f>
        <v>2027</v>
      </c>
      <c r="K41" s="185">
        <f t="shared" ref="K41" si="14">+J41+1</f>
        <v>2028</v>
      </c>
      <c r="L41" s="185">
        <f t="shared" ref="L41" si="15">+K41+1</f>
        <v>2029</v>
      </c>
      <c r="M41" s="185">
        <f t="shared" ref="M41" si="16">+L41+1</f>
        <v>2030</v>
      </c>
      <c r="N41" s="185">
        <f t="shared" ref="N41" si="17">+M41+1</f>
        <v>2031</v>
      </c>
      <c r="O41" s="185">
        <f t="shared" ref="O41" si="18">+N41+1</f>
        <v>2032</v>
      </c>
      <c r="P41" s="185">
        <f t="shared" ref="P41" si="19">+O41+1</f>
        <v>2033</v>
      </c>
      <c r="Q41" s="185">
        <f t="shared" ref="Q41" si="20">+P41+1</f>
        <v>2034</v>
      </c>
      <c r="R41" s="185">
        <f t="shared" ref="R41" si="21">+Q41+1</f>
        <v>2035</v>
      </c>
      <c r="S41" s="185">
        <f t="shared" ref="S41" si="22">+R41+1</f>
        <v>2036</v>
      </c>
      <c r="T41" s="185">
        <f t="shared" ref="T41" si="23">+S41+1</f>
        <v>2037</v>
      </c>
      <c r="U41" s="185">
        <f t="shared" ref="U41" si="24">+T41+1</f>
        <v>2038</v>
      </c>
      <c r="V41" s="185">
        <f t="shared" ref="V41" si="25">+U41+1</f>
        <v>2039</v>
      </c>
      <c r="W41" s="185">
        <f t="shared" ref="W41" si="26">+V41+1</f>
        <v>2040</v>
      </c>
      <c r="X41" s="185">
        <f t="shared" ref="X41" si="27">+W41+1</f>
        <v>2041</v>
      </c>
      <c r="Y41" s="185">
        <f t="shared" ref="Y41" si="28">+X41+1</f>
        <v>2042</v>
      </c>
      <c r="Z41" s="185">
        <f t="shared" ref="Z41" si="29">+Y41+1</f>
        <v>2043</v>
      </c>
      <c r="AA41" s="185">
        <f t="shared" ref="AA41" si="30">+Z41+1</f>
        <v>2044</v>
      </c>
      <c r="AB41" s="185">
        <f t="shared" ref="AB41" si="31">+AA41+1</f>
        <v>2045</v>
      </c>
      <c r="AC41" s="185">
        <f t="shared" ref="AC41" si="32">+AB41+1</f>
        <v>2046</v>
      </c>
      <c r="AD41" s="185">
        <f t="shared" ref="AD41" si="33">+AC41+1</f>
        <v>2047</v>
      </c>
      <c r="AE41" s="185">
        <f t="shared" ref="AE41" si="34">+AD41+1</f>
        <v>2048</v>
      </c>
      <c r="AF41" s="185">
        <f t="shared" ref="AF41" si="35">+AE41+1</f>
        <v>2049</v>
      </c>
      <c r="AG41" s="185">
        <f t="shared" ref="AG41" si="36">+AF41+1</f>
        <v>2050</v>
      </c>
      <c r="AI41" s="185" t="s">
        <v>203</v>
      </c>
    </row>
    <row r="42" spans="1:36" ht="14.45" customHeight="1" x14ac:dyDescent="0.25">
      <c r="A42" s="238" t="s">
        <v>15</v>
      </c>
      <c r="B42" s="29" t="s">
        <v>145</v>
      </c>
      <c r="C42" s="186"/>
      <c r="E42" s="187">
        <f>CTP!E15</f>
        <v>82625</v>
      </c>
      <c r="F42" s="188">
        <v>0</v>
      </c>
      <c r="G42" s="188">
        <v>0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8">
        <v>0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v>0</v>
      </c>
      <c r="U42" s="188">
        <v>0</v>
      </c>
      <c r="V42" s="188">
        <v>0</v>
      </c>
      <c r="W42" s="188">
        <v>0</v>
      </c>
      <c r="X42" s="188">
        <v>0</v>
      </c>
      <c r="Y42" s="188">
        <v>0</v>
      </c>
      <c r="Z42" s="188">
        <v>0</v>
      </c>
      <c r="AA42" s="188">
        <v>0</v>
      </c>
      <c r="AB42" s="188">
        <v>0</v>
      </c>
      <c r="AC42" s="188">
        <v>0</v>
      </c>
      <c r="AD42" s="188">
        <v>0</v>
      </c>
      <c r="AE42" s="188">
        <v>0</v>
      </c>
      <c r="AF42" s="188">
        <v>0</v>
      </c>
      <c r="AG42" s="189">
        <v>0</v>
      </c>
      <c r="AH42" s="183"/>
      <c r="AI42" s="190">
        <f>+SUM(E42:AG42)</f>
        <v>82625</v>
      </c>
    </row>
    <row r="43" spans="1:36" ht="14.45" customHeight="1" x14ac:dyDescent="0.25">
      <c r="A43" s="240"/>
      <c r="B43" s="112" t="s">
        <v>82</v>
      </c>
      <c r="C43" s="186"/>
      <c r="E43" s="191">
        <f>CTP!E5</f>
        <v>2000</v>
      </c>
      <c r="F43" s="192">
        <v>0</v>
      </c>
      <c r="G43" s="192">
        <v>0</v>
      </c>
      <c r="H43" s="192">
        <v>0</v>
      </c>
      <c r="I43" s="192">
        <v>0</v>
      </c>
      <c r="J43" s="192">
        <v>0</v>
      </c>
      <c r="K43" s="192">
        <v>0</v>
      </c>
      <c r="L43" s="192">
        <v>0</v>
      </c>
      <c r="M43" s="192">
        <v>0</v>
      </c>
      <c r="N43" s="192">
        <v>0</v>
      </c>
      <c r="O43" s="192">
        <v>0</v>
      </c>
      <c r="P43" s="192">
        <v>0</v>
      </c>
      <c r="Q43" s="192">
        <v>0</v>
      </c>
      <c r="R43" s="192">
        <v>0</v>
      </c>
      <c r="S43" s="192">
        <v>0</v>
      </c>
      <c r="T43" s="192">
        <v>0</v>
      </c>
      <c r="U43" s="192">
        <v>0</v>
      </c>
      <c r="V43" s="192">
        <v>0</v>
      </c>
      <c r="W43" s="192">
        <v>0</v>
      </c>
      <c r="X43" s="192">
        <v>0</v>
      </c>
      <c r="Y43" s="192">
        <v>0</v>
      </c>
      <c r="Z43" s="192">
        <v>0</v>
      </c>
      <c r="AA43" s="192">
        <v>0</v>
      </c>
      <c r="AB43" s="192">
        <v>0</v>
      </c>
      <c r="AC43" s="192">
        <v>0</v>
      </c>
      <c r="AD43" s="192">
        <v>0</v>
      </c>
      <c r="AE43" s="192">
        <v>0</v>
      </c>
      <c r="AF43" s="192">
        <v>0</v>
      </c>
      <c r="AG43" s="193">
        <v>0</v>
      </c>
      <c r="AH43" s="183"/>
      <c r="AI43" s="194">
        <f t="shared" ref="AI43:AI49" si="37">+SUM(E43:AG43)</f>
        <v>2000</v>
      </c>
    </row>
    <row r="44" spans="1:36" ht="14.45" customHeight="1" x14ac:dyDescent="0.25">
      <c r="A44" s="238" t="s">
        <v>16</v>
      </c>
      <c r="B44" s="29" t="s">
        <v>119</v>
      </c>
      <c r="C44" s="186"/>
      <c r="E44" s="187">
        <f>CTP!E6</f>
        <v>7500</v>
      </c>
      <c r="F44" s="188">
        <v>0</v>
      </c>
      <c r="G44" s="188">
        <v>0</v>
      </c>
      <c r="H44" s="188">
        <v>0</v>
      </c>
      <c r="I44" s="188">
        <v>0</v>
      </c>
      <c r="J44" s="188">
        <v>0</v>
      </c>
      <c r="K44" s="188">
        <v>0</v>
      </c>
      <c r="L44" s="188">
        <v>0</v>
      </c>
      <c r="M44" s="188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v>0</v>
      </c>
      <c r="V44" s="188">
        <v>0</v>
      </c>
      <c r="W44" s="188">
        <v>0</v>
      </c>
      <c r="X44" s="188">
        <v>0</v>
      </c>
      <c r="Y44" s="188">
        <v>0</v>
      </c>
      <c r="Z44" s="188">
        <v>0</v>
      </c>
      <c r="AA44" s="188">
        <v>0</v>
      </c>
      <c r="AB44" s="188">
        <v>0</v>
      </c>
      <c r="AC44" s="188">
        <v>0</v>
      </c>
      <c r="AD44" s="188">
        <v>0</v>
      </c>
      <c r="AE44" s="188">
        <v>0</v>
      </c>
      <c r="AF44" s="188">
        <v>0</v>
      </c>
      <c r="AG44" s="189">
        <v>0</v>
      </c>
      <c r="AH44" s="183"/>
      <c r="AI44" s="190">
        <f t="shared" si="37"/>
        <v>7500</v>
      </c>
    </row>
    <row r="45" spans="1:36" ht="14.45" customHeight="1" x14ac:dyDescent="0.25">
      <c r="A45" s="239"/>
      <c r="B45" s="119" t="s">
        <v>113</v>
      </c>
      <c r="C45" s="186"/>
      <c r="E45" s="195">
        <f>CTP!E7</f>
        <v>0</v>
      </c>
      <c r="F45" s="196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196">
        <v>0</v>
      </c>
      <c r="Q45" s="196">
        <v>0</v>
      </c>
      <c r="R45" s="196">
        <v>0</v>
      </c>
      <c r="S45" s="196">
        <v>0</v>
      </c>
      <c r="T45" s="196">
        <v>0</v>
      </c>
      <c r="U45" s="196">
        <v>0</v>
      </c>
      <c r="V45" s="196">
        <v>0</v>
      </c>
      <c r="W45" s="196">
        <v>0</v>
      </c>
      <c r="X45" s="196">
        <v>0</v>
      </c>
      <c r="Y45" s="196">
        <v>0</v>
      </c>
      <c r="Z45" s="196">
        <v>0</v>
      </c>
      <c r="AA45" s="196">
        <v>0</v>
      </c>
      <c r="AB45" s="196">
        <v>0</v>
      </c>
      <c r="AC45" s="196">
        <v>0</v>
      </c>
      <c r="AD45" s="196">
        <v>0</v>
      </c>
      <c r="AE45" s="196">
        <v>0</v>
      </c>
      <c r="AF45" s="196">
        <v>0</v>
      </c>
      <c r="AG45" s="197">
        <v>0</v>
      </c>
      <c r="AH45" s="183"/>
      <c r="AI45" s="198">
        <f t="shared" si="37"/>
        <v>0</v>
      </c>
    </row>
    <row r="46" spans="1:36" ht="14.45" customHeight="1" x14ac:dyDescent="0.25">
      <c r="A46" s="239"/>
      <c r="B46" s="112" t="s">
        <v>71</v>
      </c>
      <c r="C46" s="186"/>
      <c r="E46" s="195">
        <f>CTP!E8</f>
        <v>33000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f>[1]CTP!$C$7</f>
        <v>0</v>
      </c>
      <c r="N46" s="196">
        <v>0</v>
      </c>
      <c r="O46" s="196">
        <v>0</v>
      </c>
      <c r="P46" s="196">
        <v>0</v>
      </c>
      <c r="Q46" s="196">
        <v>0</v>
      </c>
      <c r="R46" s="196">
        <v>0</v>
      </c>
      <c r="S46" s="196">
        <v>0</v>
      </c>
      <c r="T46" s="196">
        <v>0</v>
      </c>
      <c r="U46" s="196">
        <v>0</v>
      </c>
      <c r="V46" s="196">
        <v>0</v>
      </c>
      <c r="W46" s="196">
        <v>0</v>
      </c>
      <c r="X46" s="196">
        <v>0</v>
      </c>
      <c r="Y46" s="196">
        <v>0</v>
      </c>
      <c r="Z46" s="196">
        <v>0</v>
      </c>
      <c r="AA46" s="196">
        <v>0</v>
      </c>
      <c r="AB46" s="196">
        <v>0</v>
      </c>
      <c r="AC46" s="196">
        <v>0</v>
      </c>
      <c r="AD46" s="196">
        <v>0</v>
      </c>
      <c r="AE46" s="196">
        <v>0</v>
      </c>
      <c r="AF46" s="196">
        <v>0</v>
      </c>
      <c r="AG46" s="197">
        <v>0</v>
      </c>
      <c r="AH46" s="183"/>
      <c r="AI46" s="198">
        <f t="shared" si="37"/>
        <v>33000</v>
      </c>
    </row>
    <row r="47" spans="1:36" ht="14.45" customHeight="1" x14ac:dyDescent="0.25">
      <c r="A47" s="239"/>
      <c r="B47" s="112" t="s">
        <v>103</v>
      </c>
      <c r="C47" s="186"/>
      <c r="E47" s="195">
        <f>CTP!E9</f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196">
        <v>0</v>
      </c>
      <c r="Q47" s="196">
        <v>0</v>
      </c>
      <c r="R47" s="196">
        <v>0</v>
      </c>
      <c r="S47" s="196">
        <v>0</v>
      </c>
      <c r="T47" s="196">
        <v>0</v>
      </c>
      <c r="U47" s="196">
        <v>0</v>
      </c>
      <c r="V47" s="196">
        <v>0</v>
      </c>
      <c r="W47" s="196">
        <v>0</v>
      </c>
      <c r="X47" s="196">
        <v>0</v>
      </c>
      <c r="Y47" s="196">
        <v>0</v>
      </c>
      <c r="Z47" s="196">
        <v>0</v>
      </c>
      <c r="AA47" s="196">
        <v>0</v>
      </c>
      <c r="AB47" s="196">
        <v>0</v>
      </c>
      <c r="AC47" s="196">
        <v>0</v>
      </c>
      <c r="AD47" s="196">
        <v>0</v>
      </c>
      <c r="AE47" s="196">
        <v>0</v>
      </c>
      <c r="AF47" s="196">
        <v>0</v>
      </c>
      <c r="AG47" s="197">
        <v>0</v>
      </c>
      <c r="AH47" s="183"/>
      <c r="AI47" s="198">
        <f t="shared" si="37"/>
        <v>0</v>
      </c>
    </row>
    <row r="48" spans="1:36" ht="14.45" customHeight="1" x14ac:dyDescent="0.25">
      <c r="A48" s="239"/>
      <c r="B48" s="112" t="s">
        <v>114</v>
      </c>
      <c r="C48" s="186"/>
      <c r="E48" s="195">
        <f>CTP!$E$4*Parametros!$C$123</f>
        <v>3375</v>
      </c>
      <c r="F48" s="196">
        <f>CTP!$E$4*Parametros!$C$123</f>
        <v>3375</v>
      </c>
      <c r="G48" s="196">
        <f>CTP!$E$4*Parametros!$C$123</f>
        <v>3375</v>
      </c>
      <c r="H48" s="196">
        <f>CTP!$E$4*Parametros!$C$123</f>
        <v>3375</v>
      </c>
      <c r="I48" s="196">
        <f>CTP!$E$4*Parametros!$C$123</f>
        <v>3375</v>
      </c>
      <c r="J48" s="196">
        <f>CTP!$E$4*Parametros!$C$123</f>
        <v>3375</v>
      </c>
      <c r="K48" s="196">
        <f>CTP!$E$4*Parametros!$C$123</f>
        <v>3375</v>
      </c>
      <c r="L48" s="196">
        <f>CTP!$E$4*Parametros!$C$123</f>
        <v>3375</v>
      </c>
      <c r="M48" s="196">
        <v>0</v>
      </c>
      <c r="N48" s="196">
        <v>0</v>
      </c>
      <c r="O48" s="196">
        <v>0</v>
      </c>
      <c r="P48" s="196">
        <v>0</v>
      </c>
      <c r="Q48" s="196">
        <v>0</v>
      </c>
      <c r="R48" s="196">
        <v>0</v>
      </c>
      <c r="S48" s="196">
        <v>0</v>
      </c>
      <c r="T48" s="196">
        <v>0</v>
      </c>
      <c r="U48" s="196">
        <v>0</v>
      </c>
      <c r="V48" s="196">
        <v>0</v>
      </c>
      <c r="W48" s="196">
        <v>0</v>
      </c>
      <c r="X48" s="196">
        <v>0</v>
      </c>
      <c r="Y48" s="196">
        <v>0</v>
      </c>
      <c r="Z48" s="196">
        <v>0</v>
      </c>
      <c r="AA48" s="196">
        <v>0</v>
      </c>
      <c r="AB48" s="196">
        <v>0</v>
      </c>
      <c r="AC48" s="196">
        <v>0</v>
      </c>
      <c r="AD48" s="196">
        <v>0</v>
      </c>
      <c r="AE48" s="196">
        <v>0</v>
      </c>
      <c r="AF48" s="196">
        <v>0</v>
      </c>
      <c r="AG48" s="197">
        <v>0</v>
      </c>
      <c r="AH48" s="183"/>
      <c r="AI48" s="198">
        <f t="shared" si="37"/>
        <v>27000</v>
      </c>
    </row>
    <row r="49" spans="1:35" ht="14.45" customHeight="1" x14ac:dyDescent="0.25">
      <c r="A49" s="239"/>
      <c r="B49" s="30" t="s">
        <v>87</v>
      </c>
      <c r="C49" s="186"/>
      <c r="E49" s="191">
        <f>-IPMT(Parametros!$C$51,1,Parametros!$C$49,(SUM(CTP!$E$4,CTP!$E$6:$E$9))*Parametros!$C$48)</f>
        <v>13335</v>
      </c>
      <c r="F49" s="200">
        <f>-IPMT(Parametros!$C$51,2,Parametros!$C$49,(SUM(CTP!$E$4,CTP!$E$6:$E$9))*Parametros!$C$48)</f>
        <v>11150.760593602072</v>
      </c>
      <c r="G49" s="200">
        <f>-IPMT(Parametros!$C$51,3,Parametros!$C$49,(SUM(CTP!$E$4,CTP!$E$6:$E$9))*Parametros!$C$48)</f>
        <v>8748.0972465643481</v>
      </c>
      <c r="H49" s="200">
        <f>-IPMT(Parametros!$C$51,4,Parametros!$C$49,(SUM(CTP!$E$4,CTP!$E$6:$E$9))*Parametros!$C$48)</f>
        <v>6105.1675648228529</v>
      </c>
      <c r="I49" s="200">
        <f>-IPMT(Parametros!$C$51,5,Parametros!$C$49,(SUM(CTP!$E$4,CTP!$E$6:$E$9))*Parametros!$C$48)</f>
        <v>3197.9449149072088</v>
      </c>
      <c r="J49" s="192">
        <v>0</v>
      </c>
      <c r="K49" s="192">
        <v>0</v>
      </c>
      <c r="L49" s="192">
        <v>0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2">
        <v>0</v>
      </c>
      <c r="V49" s="192">
        <v>0</v>
      </c>
      <c r="W49" s="192">
        <v>0</v>
      </c>
      <c r="X49" s="192">
        <v>0</v>
      </c>
      <c r="Y49" s="192">
        <v>0</v>
      </c>
      <c r="Z49" s="192">
        <v>0</v>
      </c>
      <c r="AA49" s="192">
        <v>0</v>
      </c>
      <c r="AB49" s="192">
        <v>0</v>
      </c>
      <c r="AC49" s="192">
        <v>0</v>
      </c>
      <c r="AD49" s="192">
        <v>0</v>
      </c>
      <c r="AE49" s="192">
        <v>0</v>
      </c>
      <c r="AF49" s="192">
        <v>0</v>
      </c>
      <c r="AG49" s="193">
        <v>0</v>
      </c>
      <c r="AH49" s="183"/>
      <c r="AI49" s="194">
        <f t="shared" si="37"/>
        <v>42536.970319896485</v>
      </c>
    </row>
    <row r="50" spans="1:35" ht="14.45" customHeight="1" x14ac:dyDescent="0.25">
      <c r="A50" s="238" t="s">
        <v>17</v>
      </c>
      <c r="B50" s="112" t="s">
        <v>40</v>
      </c>
      <c r="C50" s="186"/>
      <c r="E50" s="187">
        <f>(Parametros!$C$18)*Parametros!$C$37</f>
        <v>2640.0000000000005</v>
      </c>
      <c r="F50" s="188">
        <f>(Parametros!$C$18)*Parametros!$C$37</f>
        <v>2640.0000000000005</v>
      </c>
      <c r="G50" s="188">
        <f>(Parametros!$C$18)*Parametros!$C$37</f>
        <v>2640.0000000000005</v>
      </c>
      <c r="H50" s="188">
        <f>(Parametros!$C$18)*Parametros!$C$37</f>
        <v>2640.0000000000005</v>
      </c>
      <c r="I50" s="188">
        <f>(Parametros!$C$18)*Parametros!$C$37</f>
        <v>2640.0000000000005</v>
      </c>
      <c r="J50" s="188">
        <f>(Parametros!$C$18)*Parametros!$C$37</f>
        <v>2640.0000000000005</v>
      </c>
      <c r="K50" s="188">
        <f>(Parametros!$C$18)*Parametros!$C$37</f>
        <v>2640.0000000000005</v>
      </c>
      <c r="L50" s="188">
        <f>(Parametros!$C$18)*Parametros!$C$37</f>
        <v>2640.0000000000005</v>
      </c>
      <c r="M50" s="188"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v>0</v>
      </c>
      <c r="U50" s="188">
        <v>0</v>
      </c>
      <c r="V50" s="188">
        <v>0</v>
      </c>
      <c r="W50" s="188">
        <v>0</v>
      </c>
      <c r="X50" s="188">
        <v>0</v>
      </c>
      <c r="Y50" s="188">
        <v>0</v>
      </c>
      <c r="Z50" s="188">
        <v>0</v>
      </c>
      <c r="AA50" s="188">
        <v>0</v>
      </c>
      <c r="AB50" s="188">
        <v>0</v>
      </c>
      <c r="AC50" s="188">
        <v>0</v>
      </c>
      <c r="AD50" s="188">
        <v>0</v>
      </c>
      <c r="AE50" s="188">
        <v>0</v>
      </c>
      <c r="AF50" s="188">
        <v>0</v>
      </c>
      <c r="AG50" s="189">
        <v>0</v>
      </c>
      <c r="AH50" s="183"/>
      <c r="AI50" s="190">
        <f>+SUM(E50:AG50)</f>
        <v>21120.000000000004</v>
      </c>
    </row>
    <row r="51" spans="1:35" ht="14.45" customHeight="1" x14ac:dyDescent="0.25">
      <c r="A51" s="240"/>
      <c r="B51" s="30" t="s">
        <v>88</v>
      </c>
      <c r="C51" s="186"/>
      <c r="E51" s="199">
        <f>Parametros!I76</f>
        <v>1304.7348000000002</v>
      </c>
      <c r="F51" s="200">
        <f>Parametros!I77</f>
        <v>1304.7348000000002</v>
      </c>
      <c r="G51" s="200">
        <f>Parametros!I78</f>
        <v>1304.7348000000002</v>
      </c>
      <c r="H51" s="200">
        <f>Parametros!I79</f>
        <v>1304.7348000000002</v>
      </c>
      <c r="I51" s="200">
        <f>Parametros!I80</f>
        <v>1304.7348000000002</v>
      </c>
      <c r="J51" s="192">
        <f>Parametros!I81</f>
        <v>1304.7348000000002</v>
      </c>
      <c r="K51" s="192">
        <f>Parametros!I82</f>
        <v>1304.7348000000002</v>
      </c>
      <c r="L51" s="192">
        <f>Parametros!I83</f>
        <v>1304.7348000000002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0</v>
      </c>
      <c r="U51" s="192">
        <v>0</v>
      </c>
      <c r="V51" s="192">
        <v>0</v>
      </c>
      <c r="W51" s="192">
        <v>0</v>
      </c>
      <c r="X51" s="192">
        <v>0</v>
      </c>
      <c r="Y51" s="192">
        <v>0</v>
      </c>
      <c r="Z51" s="192">
        <v>0</v>
      </c>
      <c r="AA51" s="192">
        <v>0</v>
      </c>
      <c r="AB51" s="192">
        <v>0</v>
      </c>
      <c r="AC51" s="192">
        <v>0</v>
      </c>
      <c r="AD51" s="192">
        <v>0</v>
      </c>
      <c r="AE51" s="192">
        <v>0</v>
      </c>
      <c r="AF51" s="192">
        <v>0</v>
      </c>
      <c r="AG51" s="193">
        <v>0</v>
      </c>
      <c r="AH51" s="183"/>
      <c r="AI51" s="194">
        <f>+SUM(E51:AG51)</f>
        <v>10437.878400000001</v>
      </c>
    </row>
    <row r="52" spans="1:35" ht="14.45" customHeight="1" x14ac:dyDescent="0.25">
      <c r="A52" s="69" t="s">
        <v>204</v>
      </c>
      <c r="B52" s="70" t="s">
        <v>90</v>
      </c>
      <c r="C52" s="186"/>
      <c r="E52" s="199">
        <f>Parametros!$C$133*Parametros!$C$37*Parametros!$C$17/1000*Parametros!$C$134</f>
        <v>14.572800000000001</v>
      </c>
      <c r="F52" s="200">
        <f>Parametros!$C$133*Parametros!$C$37*Parametros!$C$17/1000*Parametros!$C$134</f>
        <v>14.572800000000001</v>
      </c>
      <c r="G52" s="200">
        <f>Parametros!$C$133*Parametros!$C$37*Parametros!$C$17/1000*Parametros!$C$134</f>
        <v>14.572800000000001</v>
      </c>
      <c r="H52" s="200">
        <f>Parametros!$C$133*Parametros!$C$37*Parametros!$C$17/1000*Parametros!$C$134</f>
        <v>14.572800000000001</v>
      </c>
      <c r="I52" s="200">
        <f>Parametros!$C$133*Parametros!$C$37*Parametros!$C$17/1000*Parametros!$C$134</f>
        <v>14.572800000000001</v>
      </c>
      <c r="J52" s="200">
        <f>Parametros!$C$133*Parametros!$C$37*Parametros!$C$17/1000*Parametros!$C$134</f>
        <v>14.572800000000001</v>
      </c>
      <c r="K52" s="200">
        <f>Parametros!$C$133*Parametros!$C$37*Parametros!$C$17/1000*Parametros!$C$134</f>
        <v>14.572800000000001</v>
      </c>
      <c r="L52" s="200">
        <f>Parametros!$C$133*Parametros!$C$37*Parametros!$C$17/1000*Parametros!$C$134</f>
        <v>14.572800000000001</v>
      </c>
      <c r="M52" s="192">
        <v>0</v>
      </c>
      <c r="N52" s="192">
        <v>0</v>
      </c>
      <c r="O52" s="192">
        <v>0</v>
      </c>
      <c r="P52" s="192">
        <v>0</v>
      </c>
      <c r="Q52" s="192">
        <v>0</v>
      </c>
      <c r="R52" s="192">
        <v>0</v>
      </c>
      <c r="S52" s="192">
        <v>0</v>
      </c>
      <c r="T52" s="192">
        <v>0</v>
      </c>
      <c r="U52" s="192">
        <v>0</v>
      </c>
      <c r="V52" s="192">
        <v>0</v>
      </c>
      <c r="W52" s="192">
        <v>0</v>
      </c>
      <c r="X52" s="192">
        <v>0</v>
      </c>
      <c r="Y52" s="192">
        <v>0</v>
      </c>
      <c r="Z52" s="192">
        <v>0</v>
      </c>
      <c r="AA52" s="192">
        <v>0</v>
      </c>
      <c r="AB52" s="192">
        <v>0</v>
      </c>
      <c r="AC52" s="192">
        <v>0</v>
      </c>
      <c r="AD52" s="192">
        <v>0</v>
      </c>
      <c r="AE52" s="192">
        <v>0</v>
      </c>
      <c r="AF52" s="192">
        <v>0</v>
      </c>
      <c r="AG52" s="193">
        <v>0</v>
      </c>
      <c r="AH52" s="183"/>
      <c r="AI52" s="201">
        <f>+SUM(E52:AG52)</f>
        <v>116.58240000000001</v>
      </c>
    </row>
    <row r="53" spans="1:35" ht="14.45" customHeight="1" x14ac:dyDescent="0.25">
      <c r="C53" s="186"/>
      <c r="E53" s="202">
        <f t="shared" ref="E53:AG53" si="38">SUM(E42:E52)</f>
        <v>145794.3076</v>
      </c>
      <c r="F53" s="202">
        <f t="shared" si="38"/>
        <v>18485.068193602077</v>
      </c>
      <c r="G53" s="202">
        <f t="shared" si="38"/>
        <v>16082.404846564348</v>
      </c>
      <c r="H53" s="202">
        <f t="shared" si="38"/>
        <v>13439.475164822852</v>
      </c>
      <c r="I53" s="202">
        <f t="shared" si="38"/>
        <v>10532.25251490721</v>
      </c>
      <c r="J53" s="202">
        <f t="shared" si="38"/>
        <v>7334.3076000000001</v>
      </c>
      <c r="K53" s="202">
        <f t="shared" si="38"/>
        <v>7334.3076000000001</v>
      </c>
      <c r="L53" s="202">
        <f t="shared" si="38"/>
        <v>7334.3076000000001</v>
      </c>
      <c r="M53" s="202">
        <f t="shared" si="38"/>
        <v>0</v>
      </c>
      <c r="N53" s="202">
        <f t="shared" si="38"/>
        <v>0</v>
      </c>
      <c r="O53" s="202">
        <f t="shared" si="38"/>
        <v>0</v>
      </c>
      <c r="P53" s="202">
        <f t="shared" si="38"/>
        <v>0</v>
      </c>
      <c r="Q53" s="202">
        <f t="shared" si="38"/>
        <v>0</v>
      </c>
      <c r="R53" s="202">
        <f t="shared" si="38"/>
        <v>0</v>
      </c>
      <c r="S53" s="202">
        <f t="shared" si="38"/>
        <v>0</v>
      </c>
      <c r="T53" s="202">
        <f t="shared" si="38"/>
        <v>0</v>
      </c>
      <c r="U53" s="202">
        <f t="shared" si="38"/>
        <v>0</v>
      </c>
      <c r="V53" s="202">
        <f t="shared" si="38"/>
        <v>0</v>
      </c>
      <c r="W53" s="202">
        <f t="shared" si="38"/>
        <v>0</v>
      </c>
      <c r="X53" s="202">
        <f t="shared" si="38"/>
        <v>0</v>
      </c>
      <c r="Y53" s="202">
        <f t="shared" si="38"/>
        <v>0</v>
      </c>
      <c r="Z53" s="202">
        <f t="shared" si="38"/>
        <v>0</v>
      </c>
      <c r="AA53" s="202">
        <f t="shared" si="38"/>
        <v>0</v>
      </c>
      <c r="AB53" s="202">
        <f t="shared" si="38"/>
        <v>0</v>
      </c>
      <c r="AC53" s="202">
        <f t="shared" si="38"/>
        <v>0</v>
      </c>
      <c r="AD53" s="202">
        <f t="shared" si="38"/>
        <v>0</v>
      </c>
      <c r="AE53" s="202">
        <f t="shared" si="38"/>
        <v>0</v>
      </c>
      <c r="AF53" s="202">
        <f t="shared" si="38"/>
        <v>0</v>
      </c>
      <c r="AG53" s="202">
        <f t="shared" si="38"/>
        <v>0</v>
      </c>
      <c r="AH53" s="183"/>
      <c r="AI53" s="203">
        <f>+SUM(E53:AG53)</f>
        <v>226336.4311198965</v>
      </c>
    </row>
    <row r="54" spans="1:35" ht="14.45" customHeight="1" x14ac:dyDescent="0.25">
      <c r="A54" s="183"/>
      <c r="C54" s="204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</row>
    <row r="55" spans="1:35" ht="14.45" customHeight="1" x14ac:dyDescent="0.25">
      <c r="C55" s="186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183"/>
      <c r="AI55" s="183"/>
    </row>
    <row r="56" spans="1:35" ht="14.45" customHeight="1" x14ac:dyDescent="0.25">
      <c r="A56" s="181" t="s">
        <v>205</v>
      </c>
      <c r="E56" s="206">
        <f t="shared" ref="E56:AG56" si="39">1/(1+$C$3)^E40</f>
        <v>1</v>
      </c>
      <c r="F56" s="206">
        <f t="shared" si="39"/>
        <v>1</v>
      </c>
      <c r="G56" s="206">
        <f t="shared" si="39"/>
        <v>1</v>
      </c>
      <c r="H56" s="206">
        <f t="shared" si="39"/>
        <v>1</v>
      </c>
      <c r="I56" s="206">
        <f t="shared" si="39"/>
        <v>1</v>
      </c>
      <c r="J56" s="206">
        <f t="shared" si="39"/>
        <v>1</v>
      </c>
      <c r="K56" s="206">
        <f t="shared" si="39"/>
        <v>1</v>
      </c>
      <c r="L56" s="206">
        <f t="shared" si="39"/>
        <v>1</v>
      </c>
      <c r="M56" s="206">
        <f t="shared" si="39"/>
        <v>1</v>
      </c>
      <c r="N56" s="206">
        <f t="shared" si="39"/>
        <v>1</v>
      </c>
      <c r="O56" s="206">
        <f t="shared" si="39"/>
        <v>1</v>
      </c>
      <c r="P56" s="206">
        <f t="shared" si="39"/>
        <v>1</v>
      </c>
      <c r="Q56" s="206">
        <f t="shared" si="39"/>
        <v>1</v>
      </c>
      <c r="R56" s="206">
        <f t="shared" si="39"/>
        <v>1</v>
      </c>
      <c r="S56" s="206">
        <f t="shared" si="39"/>
        <v>1</v>
      </c>
      <c r="T56" s="206">
        <f t="shared" si="39"/>
        <v>1</v>
      </c>
      <c r="U56" s="206">
        <f t="shared" si="39"/>
        <v>1</v>
      </c>
      <c r="V56" s="206">
        <f t="shared" si="39"/>
        <v>1</v>
      </c>
      <c r="W56" s="206">
        <f t="shared" si="39"/>
        <v>1</v>
      </c>
      <c r="X56" s="206">
        <f t="shared" si="39"/>
        <v>1</v>
      </c>
      <c r="Y56" s="206">
        <f t="shared" si="39"/>
        <v>1</v>
      </c>
      <c r="Z56" s="206">
        <f t="shared" si="39"/>
        <v>1</v>
      </c>
      <c r="AA56" s="206">
        <f t="shared" si="39"/>
        <v>1</v>
      </c>
      <c r="AB56" s="206">
        <f t="shared" si="39"/>
        <v>1</v>
      </c>
      <c r="AC56" s="206">
        <f t="shared" si="39"/>
        <v>1</v>
      </c>
      <c r="AD56" s="206">
        <f t="shared" si="39"/>
        <v>1</v>
      </c>
      <c r="AE56" s="206">
        <f t="shared" si="39"/>
        <v>1</v>
      </c>
      <c r="AF56" s="206">
        <f t="shared" si="39"/>
        <v>1</v>
      </c>
      <c r="AG56" s="206">
        <f t="shared" si="39"/>
        <v>1</v>
      </c>
      <c r="AH56" s="183"/>
      <c r="AI56" s="183"/>
    </row>
    <row r="57" spans="1:35" ht="14.45" customHeight="1" x14ac:dyDescent="0.25">
      <c r="C57" s="207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183"/>
      <c r="AI57" s="183"/>
    </row>
    <row r="58" spans="1:35" ht="14.45" customHeight="1" x14ac:dyDescent="0.25">
      <c r="A58" s="260" t="s">
        <v>206</v>
      </c>
      <c r="B58" s="260"/>
      <c r="C58" s="181" t="s">
        <v>1</v>
      </c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</row>
    <row r="59" spans="1:35" ht="14.45" customHeight="1" x14ac:dyDescent="0.25">
      <c r="A59" s="238" t="s">
        <v>15</v>
      </c>
      <c r="B59" s="29" t="s">
        <v>145</v>
      </c>
      <c r="C59" s="186"/>
      <c r="E59" s="208">
        <f>E42*E$21</f>
        <v>82625</v>
      </c>
      <c r="F59" s="209">
        <f t="shared" ref="F59:AG68" si="40">F42*F$21</f>
        <v>0</v>
      </c>
      <c r="G59" s="209">
        <f t="shared" si="40"/>
        <v>0</v>
      </c>
      <c r="H59" s="209">
        <f t="shared" si="40"/>
        <v>0</v>
      </c>
      <c r="I59" s="209">
        <f t="shared" si="40"/>
        <v>0</v>
      </c>
      <c r="J59" s="209">
        <f t="shared" si="40"/>
        <v>0</v>
      </c>
      <c r="K59" s="209">
        <f t="shared" si="40"/>
        <v>0</v>
      </c>
      <c r="L59" s="209">
        <f t="shared" si="40"/>
        <v>0</v>
      </c>
      <c r="M59" s="209">
        <f t="shared" si="40"/>
        <v>0</v>
      </c>
      <c r="N59" s="209">
        <f t="shared" si="40"/>
        <v>0</v>
      </c>
      <c r="O59" s="209">
        <f t="shared" si="40"/>
        <v>0</v>
      </c>
      <c r="P59" s="209">
        <f t="shared" si="40"/>
        <v>0</v>
      </c>
      <c r="Q59" s="209">
        <f t="shared" si="40"/>
        <v>0</v>
      </c>
      <c r="R59" s="209">
        <f t="shared" si="40"/>
        <v>0</v>
      </c>
      <c r="S59" s="209">
        <f t="shared" si="40"/>
        <v>0</v>
      </c>
      <c r="T59" s="209">
        <f t="shared" si="40"/>
        <v>0</v>
      </c>
      <c r="U59" s="209">
        <f t="shared" si="40"/>
        <v>0</v>
      </c>
      <c r="V59" s="209">
        <f t="shared" si="40"/>
        <v>0</v>
      </c>
      <c r="W59" s="209">
        <f t="shared" si="40"/>
        <v>0</v>
      </c>
      <c r="X59" s="209">
        <f t="shared" si="40"/>
        <v>0</v>
      </c>
      <c r="Y59" s="209">
        <f t="shared" si="40"/>
        <v>0</v>
      </c>
      <c r="Z59" s="209">
        <f t="shared" si="40"/>
        <v>0</v>
      </c>
      <c r="AA59" s="209">
        <f t="shared" si="40"/>
        <v>0</v>
      </c>
      <c r="AB59" s="209">
        <f t="shared" si="40"/>
        <v>0</v>
      </c>
      <c r="AC59" s="209">
        <f t="shared" si="40"/>
        <v>0</v>
      </c>
      <c r="AD59" s="209">
        <f t="shared" si="40"/>
        <v>0</v>
      </c>
      <c r="AE59" s="209">
        <f t="shared" si="40"/>
        <v>0</v>
      </c>
      <c r="AF59" s="209">
        <f t="shared" si="40"/>
        <v>0</v>
      </c>
      <c r="AG59" s="210">
        <f t="shared" si="40"/>
        <v>0</v>
      </c>
      <c r="AH59" s="183"/>
      <c r="AI59" s="211">
        <f t="shared" ref="AI59:AI69" si="41">+SUM(E59:AG59)</f>
        <v>82625</v>
      </c>
    </row>
    <row r="60" spans="1:35" ht="14.45" customHeight="1" x14ac:dyDescent="0.25">
      <c r="A60" s="240"/>
      <c r="B60" s="112" t="s">
        <v>82</v>
      </c>
      <c r="C60" s="186"/>
      <c r="E60" s="212">
        <f t="shared" ref="E60:T60" si="42">E43*E$21</f>
        <v>2000</v>
      </c>
      <c r="F60" s="213">
        <f t="shared" si="42"/>
        <v>0</v>
      </c>
      <c r="G60" s="213">
        <f t="shared" si="42"/>
        <v>0</v>
      </c>
      <c r="H60" s="213">
        <f t="shared" si="42"/>
        <v>0</v>
      </c>
      <c r="I60" s="213">
        <f t="shared" si="42"/>
        <v>0</v>
      </c>
      <c r="J60" s="213">
        <f t="shared" si="42"/>
        <v>0</v>
      </c>
      <c r="K60" s="213">
        <f t="shared" si="42"/>
        <v>0</v>
      </c>
      <c r="L60" s="213">
        <f t="shared" si="42"/>
        <v>0</v>
      </c>
      <c r="M60" s="213">
        <f t="shared" si="42"/>
        <v>0</v>
      </c>
      <c r="N60" s="213">
        <f t="shared" si="42"/>
        <v>0</v>
      </c>
      <c r="O60" s="213">
        <f t="shared" si="42"/>
        <v>0</v>
      </c>
      <c r="P60" s="213">
        <f t="shared" si="42"/>
        <v>0</v>
      </c>
      <c r="Q60" s="213">
        <f t="shared" si="42"/>
        <v>0</v>
      </c>
      <c r="R60" s="213">
        <f t="shared" si="42"/>
        <v>0</v>
      </c>
      <c r="S60" s="213">
        <f t="shared" si="42"/>
        <v>0</v>
      </c>
      <c r="T60" s="213">
        <f t="shared" si="42"/>
        <v>0</v>
      </c>
      <c r="U60" s="213">
        <f t="shared" si="40"/>
        <v>0</v>
      </c>
      <c r="V60" s="213">
        <f t="shared" si="40"/>
        <v>0</v>
      </c>
      <c r="W60" s="213">
        <f t="shared" si="40"/>
        <v>0</v>
      </c>
      <c r="X60" s="213">
        <f t="shared" si="40"/>
        <v>0</v>
      </c>
      <c r="Y60" s="213">
        <f t="shared" si="40"/>
        <v>0</v>
      </c>
      <c r="Z60" s="213">
        <f t="shared" si="40"/>
        <v>0</v>
      </c>
      <c r="AA60" s="213">
        <f t="shared" si="40"/>
        <v>0</v>
      </c>
      <c r="AB60" s="213">
        <f t="shared" si="40"/>
        <v>0</v>
      </c>
      <c r="AC60" s="213">
        <f t="shared" si="40"/>
        <v>0</v>
      </c>
      <c r="AD60" s="213">
        <f t="shared" si="40"/>
        <v>0</v>
      </c>
      <c r="AE60" s="213">
        <f t="shared" si="40"/>
        <v>0</v>
      </c>
      <c r="AF60" s="213">
        <f t="shared" si="40"/>
        <v>0</v>
      </c>
      <c r="AG60" s="214">
        <f t="shared" si="40"/>
        <v>0</v>
      </c>
      <c r="AH60" s="183"/>
      <c r="AI60" s="215">
        <f t="shared" si="41"/>
        <v>2000</v>
      </c>
    </row>
    <row r="61" spans="1:35" ht="14.45" customHeight="1" x14ac:dyDescent="0.25">
      <c r="A61" s="238" t="s">
        <v>16</v>
      </c>
      <c r="B61" s="29" t="s">
        <v>119</v>
      </c>
      <c r="C61" s="186"/>
      <c r="E61" s="208">
        <f t="shared" ref="E61" si="43">E44*E$21</f>
        <v>7500</v>
      </c>
      <c r="F61" s="209">
        <f t="shared" si="40"/>
        <v>0</v>
      </c>
      <c r="G61" s="209">
        <f t="shared" si="40"/>
        <v>0</v>
      </c>
      <c r="H61" s="209">
        <f t="shared" si="40"/>
        <v>0</v>
      </c>
      <c r="I61" s="209">
        <f t="shared" si="40"/>
        <v>0</v>
      </c>
      <c r="J61" s="209">
        <f t="shared" si="40"/>
        <v>0</v>
      </c>
      <c r="K61" s="209">
        <f t="shared" si="40"/>
        <v>0</v>
      </c>
      <c r="L61" s="209">
        <f t="shared" si="40"/>
        <v>0</v>
      </c>
      <c r="M61" s="209">
        <f t="shared" si="40"/>
        <v>0</v>
      </c>
      <c r="N61" s="209">
        <f t="shared" si="40"/>
        <v>0</v>
      </c>
      <c r="O61" s="209">
        <f t="shared" si="40"/>
        <v>0</v>
      </c>
      <c r="P61" s="209">
        <f t="shared" si="40"/>
        <v>0</v>
      </c>
      <c r="Q61" s="209">
        <f t="shared" si="40"/>
        <v>0</v>
      </c>
      <c r="R61" s="209">
        <f t="shared" si="40"/>
        <v>0</v>
      </c>
      <c r="S61" s="209">
        <f t="shared" si="40"/>
        <v>0</v>
      </c>
      <c r="T61" s="209">
        <f t="shared" si="40"/>
        <v>0</v>
      </c>
      <c r="U61" s="209">
        <f t="shared" si="40"/>
        <v>0</v>
      </c>
      <c r="V61" s="209">
        <f t="shared" si="40"/>
        <v>0</v>
      </c>
      <c r="W61" s="209">
        <f t="shared" si="40"/>
        <v>0</v>
      </c>
      <c r="X61" s="209">
        <f t="shared" si="40"/>
        <v>0</v>
      </c>
      <c r="Y61" s="209">
        <f t="shared" si="40"/>
        <v>0</v>
      </c>
      <c r="Z61" s="209">
        <f t="shared" si="40"/>
        <v>0</v>
      </c>
      <c r="AA61" s="209">
        <f t="shared" si="40"/>
        <v>0</v>
      </c>
      <c r="AB61" s="209">
        <f t="shared" si="40"/>
        <v>0</v>
      </c>
      <c r="AC61" s="209">
        <f t="shared" si="40"/>
        <v>0</v>
      </c>
      <c r="AD61" s="209">
        <f t="shared" si="40"/>
        <v>0</v>
      </c>
      <c r="AE61" s="209">
        <f t="shared" si="40"/>
        <v>0</v>
      </c>
      <c r="AF61" s="209">
        <f t="shared" si="40"/>
        <v>0</v>
      </c>
      <c r="AG61" s="210">
        <f t="shared" si="40"/>
        <v>0</v>
      </c>
      <c r="AH61" s="183"/>
      <c r="AI61" s="211">
        <f t="shared" si="41"/>
        <v>7500</v>
      </c>
    </row>
    <row r="62" spans="1:35" ht="14.45" customHeight="1" x14ac:dyDescent="0.25">
      <c r="A62" s="239"/>
      <c r="B62" s="119" t="s">
        <v>113</v>
      </c>
      <c r="C62" s="186"/>
      <c r="E62" s="216">
        <f t="shared" ref="E62" si="44">E45*E$21</f>
        <v>0</v>
      </c>
      <c r="F62" s="217">
        <f t="shared" si="40"/>
        <v>0</v>
      </c>
      <c r="G62" s="217">
        <f t="shared" si="40"/>
        <v>0</v>
      </c>
      <c r="H62" s="217">
        <f t="shared" si="40"/>
        <v>0</v>
      </c>
      <c r="I62" s="217">
        <f t="shared" si="40"/>
        <v>0</v>
      </c>
      <c r="J62" s="217">
        <f t="shared" si="40"/>
        <v>0</v>
      </c>
      <c r="K62" s="217">
        <f t="shared" si="40"/>
        <v>0</v>
      </c>
      <c r="L62" s="217">
        <f t="shared" si="40"/>
        <v>0</v>
      </c>
      <c r="M62" s="217">
        <f t="shared" si="40"/>
        <v>0</v>
      </c>
      <c r="N62" s="217">
        <f t="shared" si="40"/>
        <v>0</v>
      </c>
      <c r="O62" s="217">
        <f t="shared" si="40"/>
        <v>0</v>
      </c>
      <c r="P62" s="217">
        <f t="shared" si="40"/>
        <v>0</v>
      </c>
      <c r="Q62" s="217">
        <f t="shared" si="40"/>
        <v>0</v>
      </c>
      <c r="R62" s="217">
        <f t="shared" si="40"/>
        <v>0</v>
      </c>
      <c r="S62" s="217">
        <f t="shared" si="40"/>
        <v>0</v>
      </c>
      <c r="T62" s="217">
        <f t="shared" si="40"/>
        <v>0</v>
      </c>
      <c r="U62" s="217">
        <f t="shared" si="40"/>
        <v>0</v>
      </c>
      <c r="V62" s="217">
        <f t="shared" si="40"/>
        <v>0</v>
      </c>
      <c r="W62" s="217">
        <f t="shared" si="40"/>
        <v>0</v>
      </c>
      <c r="X62" s="217">
        <f t="shared" si="40"/>
        <v>0</v>
      </c>
      <c r="Y62" s="217">
        <f t="shared" si="40"/>
        <v>0</v>
      </c>
      <c r="Z62" s="217">
        <f t="shared" si="40"/>
        <v>0</v>
      </c>
      <c r="AA62" s="217">
        <f t="shared" si="40"/>
        <v>0</v>
      </c>
      <c r="AB62" s="217">
        <f t="shared" si="40"/>
        <v>0</v>
      </c>
      <c r="AC62" s="217">
        <f t="shared" si="40"/>
        <v>0</v>
      </c>
      <c r="AD62" s="217">
        <f t="shared" si="40"/>
        <v>0</v>
      </c>
      <c r="AE62" s="217">
        <f t="shared" si="40"/>
        <v>0</v>
      </c>
      <c r="AF62" s="217">
        <f t="shared" si="40"/>
        <v>0</v>
      </c>
      <c r="AG62" s="218">
        <f t="shared" si="40"/>
        <v>0</v>
      </c>
      <c r="AH62" s="183"/>
      <c r="AI62" s="219">
        <f t="shared" si="41"/>
        <v>0</v>
      </c>
    </row>
    <row r="63" spans="1:35" ht="14.45" customHeight="1" x14ac:dyDescent="0.25">
      <c r="A63" s="239"/>
      <c r="B63" s="112" t="s">
        <v>71</v>
      </c>
      <c r="C63" s="186"/>
      <c r="E63" s="216">
        <f t="shared" ref="E63" si="45">E46*E$21</f>
        <v>33000</v>
      </c>
      <c r="F63" s="217">
        <f t="shared" si="40"/>
        <v>0</v>
      </c>
      <c r="G63" s="217">
        <f t="shared" si="40"/>
        <v>0</v>
      </c>
      <c r="H63" s="217">
        <f t="shared" si="40"/>
        <v>0</v>
      </c>
      <c r="I63" s="217">
        <f t="shared" si="40"/>
        <v>0</v>
      </c>
      <c r="J63" s="217">
        <f t="shared" si="40"/>
        <v>0</v>
      </c>
      <c r="K63" s="217">
        <f t="shared" si="40"/>
        <v>0</v>
      </c>
      <c r="L63" s="217">
        <f t="shared" si="40"/>
        <v>0</v>
      </c>
      <c r="M63" s="217">
        <f t="shared" si="40"/>
        <v>0</v>
      </c>
      <c r="N63" s="217">
        <f t="shared" si="40"/>
        <v>0</v>
      </c>
      <c r="O63" s="217">
        <f t="shared" si="40"/>
        <v>0</v>
      </c>
      <c r="P63" s="217">
        <f t="shared" si="40"/>
        <v>0</v>
      </c>
      <c r="Q63" s="217">
        <f t="shared" si="40"/>
        <v>0</v>
      </c>
      <c r="R63" s="217">
        <f t="shared" si="40"/>
        <v>0</v>
      </c>
      <c r="S63" s="217">
        <f t="shared" si="40"/>
        <v>0</v>
      </c>
      <c r="T63" s="217">
        <f t="shared" si="40"/>
        <v>0</v>
      </c>
      <c r="U63" s="217">
        <f t="shared" si="40"/>
        <v>0</v>
      </c>
      <c r="V63" s="217">
        <f t="shared" si="40"/>
        <v>0</v>
      </c>
      <c r="W63" s="217">
        <f t="shared" si="40"/>
        <v>0</v>
      </c>
      <c r="X63" s="217">
        <f t="shared" si="40"/>
        <v>0</v>
      </c>
      <c r="Y63" s="217">
        <f t="shared" si="40"/>
        <v>0</v>
      </c>
      <c r="Z63" s="217">
        <f t="shared" si="40"/>
        <v>0</v>
      </c>
      <c r="AA63" s="217">
        <f t="shared" si="40"/>
        <v>0</v>
      </c>
      <c r="AB63" s="217">
        <f t="shared" si="40"/>
        <v>0</v>
      </c>
      <c r="AC63" s="217">
        <f t="shared" si="40"/>
        <v>0</v>
      </c>
      <c r="AD63" s="217">
        <f t="shared" si="40"/>
        <v>0</v>
      </c>
      <c r="AE63" s="217">
        <f t="shared" si="40"/>
        <v>0</v>
      </c>
      <c r="AF63" s="217">
        <f t="shared" si="40"/>
        <v>0</v>
      </c>
      <c r="AG63" s="218">
        <f t="shared" si="40"/>
        <v>0</v>
      </c>
      <c r="AH63" s="183"/>
      <c r="AI63" s="219">
        <f t="shared" si="41"/>
        <v>33000</v>
      </c>
    </row>
    <row r="64" spans="1:35" ht="14.45" customHeight="1" x14ac:dyDescent="0.25">
      <c r="A64" s="239"/>
      <c r="B64" s="112" t="s">
        <v>103</v>
      </c>
      <c r="C64" s="186"/>
      <c r="E64" s="216">
        <f t="shared" ref="E64" si="46">E47*E$21</f>
        <v>0</v>
      </c>
      <c r="F64" s="217">
        <f t="shared" si="40"/>
        <v>0</v>
      </c>
      <c r="G64" s="217">
        <f t="shared" si="40"/>
        <v>0</v>
      </c>
      <c r="H64" s="217">
        <f t="shared" si="40"/>
        <v>0</v>
      </c>
      <c r="I64" s="217">
        <f t="shared" si="40"/>
        <v>0</v>
      </c>
      <c r="J64" s="217">
        <f t="shared" si="40"/>
        <v>0</v>
      </c>
      <c r="K64" s="217">
        <f t="shared" si="40"/>
        <v>0</v>
      </c>
      <c r="L64" s="217">
        <f t="shared" si="40"/>
        <v>0</v>
      </c>
      <c r="M64" s="217">
        <f t="shared" si="40"/>
        <v>0</v>
      </c>
      <c r="N64" s="217">
        <f t="shared" si="40"/>
        <v>0</v>
      </c>
      <c r="O64" s="217">
        <f t="shared" si="40"/>
        <v>0</v>
      </c>
      <c r="P64" s="217">
        <f t="shared" si="40"/>
        <v>0</v>
      </c>
      <c r="Q64" s="217">
        <f t="shared" si="40"/>
        <v>0</v>
      </c>
      <c r="R64" s="217">
        <f t="shared" si="40"/>
        <v>0</v>
      </c>
      <c r="S64" s="217">
        <f t="shared" si="40"/>
        <v>0</v>
      </c>
      <c r="T64" s="217">
        <f t="shared" si="40"/>
        <v>0</v>
      </c>
      <c r="U64" s="217">
        <f t="shared" si="40"/>
        <v>0</v>
      </c>
      <c r="V64" s="217">
        <f t="shared" si="40"/>
        <v>0</v>
      </c>
      <c r="W64" s="217">
        <f t="shared" si="40"/>
        <v>0</v>
      </c>
      <c r="X64" s="217">
        <f t="shared" si="40"/>
        <v>0</v>
      </c>
      <c r="Y64" s="217">
        <f t="shared" si="40"/>
        <v>0</v>
      </c>
      <c r="Z64" s="217">
        <f t="shared" si="40"/>
        <v>0</v>
      </c>
      <c r="AA64" s="217">
        <f t="shared" si="40"/>
        <v>0</v>
      </c>
      <c r="AB64" s="217">
        <f t="shared" si="40"/>
        <v>0</v>
      </c>
      <c r="AC64" s="217">
        <f t="shared" si="40"/>
        <v>0</v>
      </c>
      <c r="AD64" s="217">
        <f t="shared" si="40"/>
        <v>0</v>
      </c>
      <c r="AE64" s="217">
        <f t="shared" si="40"/>
        <v>0</v>
      </c>
      <c r="AF64" s="217">
        <f t="shared" si="40"/>
        <v>0</v>
      </c>
      <c r="AG64" s="218">
        <f t="shared" si="40"/>
        <v>0</v>
      </c>
      <c r="AH64" s="183"/>
      <c r="AI64" s="219">
        <f t="shared" si="41"/>
        <v>0</v>
      </c>
    </row>
    <row r="65" spans="1:35" ht="14.45" customHeight="1" x14ac:dyDescent="0.25">
      <c r="A65" s="239"/>
      <c r="B65" s="112" t="s">
        <v>114</v>
      </c>
      <c r="C65" s="186"/>
      <c r="E65" s="216">
        <f t="shared" ref="E65" si="47">E48*E$21</f>
        <v>3375</v>
      </c>
      <c r="F65" s="217">
        <f t="shared" si="40"/>
        <v>3375</v>
      </c>
      <c r="G65" s="217">
        <f t="shared" si="40"/>
        <v>3375</v>
      </c>
      <c r="H65" s="217">
        <f t="shared" si="40"/>
        <v>3375</v>
      </c>
      <c r="I65" s="217">
        <f t="shared" si="40"/>
        <v>3375</v>
      </c>
      <c r="J65" s="217">
        <f t="shared" si="40"/>
        <v>3375</v>
      </c>
      <c r="K65" s="217">
        <f t="shared" si="40"/>
        <v>3375</v>
      </c>
      <c r="L65" s="217">
        <f t="shared" si="40"/>
        <v>3375</v>
      </c>
      <c r="M65" s="217">
        <f t="shared" si="40"/>
        <v>0</v>
      </c>
      <c r="N65" s="217">
        <f t="shared" si="40"/>
        <v>0</v>
      </c>
      <c r="O65" s="217">
        <f t="shared" si="40"/>
        <v>0</v>
      </c>
      <c r="P65" s="217">
        <f t="shared" si="40"/>
        <v>0</v>
      </c>
      <c r="Q65" s="217">
        <f t="shared" si="40"/>
        <v>0</v>
      </c>
      <c r="R65" s="217">
        <f t="shared" si="40"/>
        <v>0</v>
      </c>
      <c r="S65" s="217">
        <f t="shared" si="40"/>
        <v>0</v>
      </c>
      <c r="T65" s="217">
        <f t="shared" si="40"/>
        <v>0</v>
      </c>
      <c r="U65" s="217">
        <f t="shared" si="40"/>
        <v>0</v>
      </c>
      <c r="V65" s="217">
        <f t="shared" si="40"/>
        <v>0</v>
      </c>
      <c r="W65" s="217">
        <f t="shared" si="40"/>
        <v>0</v>
      </c>
      <c r="X65" s="217">
        <f t="shared" si="40"/>
        <v>0</v>
      </c>
      <c r="Y65" s="217">
        <f t="shared" si="40"/>
        <v>0</v>
      </c>
      <c r="Z65" s="217">
        <f t="shared" si="40"/>
        <v>0</v>
      </c>
      <c r="AA65" s="217">
        <f t="shared" si="40"/>
        <v>0</v>
      </c>
      <c r="AB65" s="217">
        <f t="shared" si="40"/>
        <v>0</v>
      </c>
      <c r="AC65" s="217">
        <f t="shared" si="40"/>
        <v>0</v>
      </c>
      <c r="AD65" s="217">
        <f t="shared" si="40"/>
        <v>0</v>
      </c>
      <c r="AE65" s="217">
        <f t="shared" si="40"/>
        <v>0</v>
      </c>
      <c r="AF65" s="217">
        <f t="shared" si="40"/>
        <v>0</v>
      </c>
      <c r="AG65" s="218">
        <f t="shared" si="40"/>
        <v>0</v>
      </c>
      <c r="AH65" s="183"/>
      <c r="AI65" s="219">
        <f t="shared" si="41"/>
        <v>27000</v>
      </c>
    </row>
    <row r="66" spans="1:35" ht="14.45" customHeight="1" x14ac:dyDescent="0.25">
      <c r="A66" s="239"/>
      <c r="B66" s="30" t="s">
        <v>87</v>
      </c>
      <c r="C66" s="207"/>
      <c r="E66" s="212">
        <f t="shared" ref="E66" si="48">E49*E$21</f>
        <v>13335</v>
      </c>
      <c r="F66" s="213">
        <f t="shared" si="40"/>
        <v>11150.760593602072</v>
      </c>
      <c r="G66" s="213">
        <f t="shared" si="40"/>
        <v>8748.0972465643481</v>
      </c>
      <c r="H66" s="213">
        <f t="shared" si="40"/>
        <v>6105.1675648228529</v>
      </c>
      <c r="I66" s="213">
        <f t="shared" si="40"/>
        <v>3197.9449149072088</v>
      </c>
      <c r="J66" s="213">
        <f t="shared" si="40"/>
        <v>0</v>
      </c>
      <c r="K66" s="213">
        <f t="shared" si="40"/>
        <v>0</v>
      </c>
      <c r="L66" s="213">
        <f t="shared" si="40"/>
        <v>0</v>
      </c>
      <c r="M66" s="213">
        <f t="shared" si="40"/>
        <v>0</v>
      </c>
      <c r="N66" s="213">
        <f t="shared" si="40"/>
        <v>0</v>
      </c>
      <c r="O66" s="213">
        <f t="shared" si="40"/>
        <v>0</v>
      </c>
      <c r="P66" s="213">
        <f t="shared" si="40"/>
        <v>0</v>
      </c>
      <c r="Q66" s="213">
        <f t="shared" si="40"/>
        <v>0</v>
      </c>
      <c r="R66" s="213">
        <f t="shared" si="40"/>
        <v>0</v>
      </c>
      <c r="S66" s="213">
        <f t="shared" si="40"/>
        <v>0</v>
      </c>
      <c r="T66" s="213">
        <f t="shared" si="40"/>
        <v>0</v>
      </c>
      <c r="U66" s="213">
        <f t="shared" si="40"/>
        <v>0</v>
      </c>
      <c r="V66" s="213">
        <f t="shared" si="40"/>
        <v>0</v>
      </c>
      <c r="W66" s="213">
        <f t="shared" si="40"/>
        <v>0</v>
      </c>
      <c r="X66" s="213">
        <f t="shared" si="40"/>
        <v>0</v>
      </c>
      <c r="Y66" s="213">
        <f t="shared" si="40"/>
        <v>0</v>
      </c>
      <c r="Z66" s="213">
        <f t="shared" si="40"/>
        <v>0</v>
      </c>
      <c r="AA66" s="213">
        <f t="shared" si="40"/>
        <v>0</v>
      </c>
      <c r="AB66" s="213">
        <f t="shared" si="40"/>
        <v>0</v>
      </c>
      <c r="AC66" s="213">
        <f t="shared" si="40"/>
        <v>0</v>
      </c>
      <c r="AD66" s="213">
        <f t="shared" si="40"/>
        <v>0</v>
      </c>
      <c r="AE66" s="213">
        <f t="shared" si="40"/>
        <v>0</v>
      </c>
      <c r="AF66" s="213">
        <f t="shared" si="40"/>
        <v>0</v>
      </c>
      <c r="AG66" s="214">
        <f t="shared" si="40"/>
        <v>0</v>
      </c>
      <c r="AH66" s="183"/>
      <c r="AI66" s="215">
        <f t="shared" si="41"/>
        <v>42536.970319896485</v>
      </c>
    </row>
    <row r="67" spans="1:35" ht="14.45" customHeight="1" x14ac:dyDescent="0.25">
      <c r="A67" s="238" t="s">
        <v>17</v>
      </c>
      <c r="B67" s="112" t="s">
        <v>40</v>
      </c>
      <c r="C67" s="207"/>
      <c r="E67" s="208">
        <f t="shared" ref="E67" si="49">E50*E$21</f>
        <v>2640.0000000000005</v>
      </c>
      <c r="F67" s="209">
        <f t="shared" si="40"/>
        <v>2640.0000000000005</v>
      </c>
      <c r="G67" s="209">
        <f t="shared" si="40"/>
        <v>2640.0000000000005</v>
      </c>
      <c r="H67" s="209">
        <f t="shared" si="40"/>
        <v>2640.0000000000005</v>
      </c>
      <c r="I67" s="209">
        <f t="shared" si="40"/>
        <v>2640.0000000000005</v>
      </c>
      <c r="J67" s="209">
        <f t="shared" si="40"/>
        <v>2640.0000000000005</v>
      </c>
      <c r="K67" s="209">
        <f t="shared" si="40"/>
        <v>2640.0000000000005</v>
      </c>
      <c r="L67" s="209">
        <f t="shared" si="40"/>
        <v>2640.0000000000005</v>
      </c>
      <c r="M67" s="209">
        <f t="shared" si="40"/>
        <v>0</v>
      </c>
      <c r="N67" s="209">
        <f t="shared" si="40"/>
        <v>0</v>
      </c>
      <c r="O67" s="209">
        <f t="shared" si="40"/>
        <v>0</v>
      </c>
      <c r="P67" s="209">
        <f t="shared" si="40"/>
        <v>0</v>
      </c>
      <c r="Q67" s="209">
        <f t="shared" si="40"/>
        <v>0</v>
      </c>
      <c r="R67" s="209">
        <f t="shared" si="40"/>
        <v>0</v>
      </c>
      <c r="S67" s="209">
        <f t="shared" si="40"/>
        <v>0</v>
      </c>
      <c r="T67" s="209">
        <f t="shared" si="40"/>
        <v>0</v>
      </c>
      <c r="U67" s="209">
        <f t="shared" si="40"/>
        <v>0</v>
      </c>
      <c r="V67" s="209">
        <f t="shared" si="40"/>
        <v>0</v>
      </c>
      <c r="W67" s="209">
        <f t="shared" si="40"/>
        <v>0</v>
      </c>
      <c r="X67" s="209">
        <f t="shared" si="40"/>
        <v>0</v>
      </c>
      <c r="Y67" s="209">
        <f t="shared" si="40"/>
        <v>0</v>
      </c>
      <c r="Z67" s="209">
        <f t="shared" si="40"/>
        <v>0</v>
      </c>
      <c r="AA67" s="209">
        <f t="shared" si="40"/>
        <v>0</v>
      </c>
      <c r="AB67" s="209">
        <f t="shared" si="40"/>
        <v>0</v>
      </c>
      <c r="AC67" s="209">
        <f t="shared" si="40"/>
        <v>0</v>
      </c>
      <c r="AD67" s="209">
        <f t="shared" si="40"/>
        <v>0</v>
      </c>
      <c r="AE67" s="209">
        <f t="shared" si="40"/>
        <v>0</v>
      </c>
      <c r="AF67" s="209">
        <f t="shared" si="40"/>
        <v>0</v>
      </c>
      <c r="AG67" s="210">
        <f t="shared" si="40"/>
        <v>0</v>
      </c>
      <c r="AH67" s="183"/>
      <c r="AI67" s="211">
        <f t="shared" si="41"/>
        <v>21120.000000000004</v>
      </c>
    </row>
    <row r="68" spans="1:35" ht="14.45" customHeight="1" x14ac:dyDescent="0.25">
      <c r="A68" s="240"/>
      <c r="B68" s="30" t="s">
        <v>88</v>
      </c>
      <c r="C68" s="207"/>
      <c r="E68" s="212">
        <f t="shared" ref="E68" si="50">E51*E$21</f>
        <v>1304.7348000000002</v>
      </c>
      <c r="F68" s="213">
        <f t="shared" si="40"/>
        <v>1304.7348000000002</v>
      </c>
      <c r="G68" s="213">
        <f t="shared" si="40"/>
        <v>1304.7348000000002</v>
      </c>
      <c r="H68" s="213">
        <f t="shared" si="40"/>
        <v>1304.7348000000002</v>
      </c>
      <c r="I68" s="213">
        <f t="shared" si="40"/>
        <v>1304.7348000000002</v>
      </c>
      <c r="J68" s="213">
        <f t="shared" si="40"/>
        <v>1304.7348000000002</v>
      </c>
      <c r="K68" s="213">
        <f t="shared" si="40"/>
        <v>1304.7348000000002</v>
      </c>
      <c r="L68" s="213">
        <f t="shared" si="40"/>
        <v>1304.7348000000002</v>
      </c>
      <c r="M68" s="213">
        <f t="shared" si="40"/>
        <v>0</v>
      </c>
      <c r="N68" s="213">
        <f t="shared" si="40"/>
        <v>0</v>
      </c>
      <c r="O68" s="213">
        <f t="shared" si="40"/>
        <v>0</v>
      </c>
      <c r="P68" s="213">
        <f t="shared" si="40"/>
        <v>0</v>
      </c>
      <c r="Q68" s="213">
        <f t="shared" si="40"/>
        <v>0</v>
      </c>
      <c r="R68" s="213">
        <f t="shared" si="40"/>
        <v>0</v>
      </c>
      <c r="S68" s="213">
        <f t="shared" si="40"/>
        <v>0</v>
      </c>
      <c r="T68" s="213">
        <f t="shared" si="40"/>
        <v>0</v>
      </c>
      <c r="U68" s="213">
        <f t="shared" si="40"/>
        <v>0</v>
      </c>
      <c r="V68" s="213">
        <f t="shared" si="40"/>
        <v>0</v>
      </c>
      <c r="W68" s="213">
        <f t="shared" si="40"/>
        <v>0</v>
      </c>
      <c r="X68" s="213">
        <f t="shared" ref="X68:AG68" si="51">X51*X$21</f>
        <v>0</v>
      </c>
      <c r="Y68" s="213">
        <f t="shared" si="51"/>
        <v>0</v>
      </c>
      <c r="Z68" s="213">
        <f t="shared" si="51"/>
        <v>0</v>
      </c>
      <c r="AA68" s="213">
        <f t="shared" si="51"/>
        <v>0</v>
      </c>
      <c r="AB68" s="213">
        <f t="shared" si="51"/>
        <v>0</v>
      </c>
      <c r="AC68" s="213">
        <f t="shared" si="51"/>
        <v>0</v>
      </c>
      <c r="AD68" s="213">
        <f t="shared" si="51"/>
        <v>0</v>
      </c>
      <c r="AE68" s="213">
        <f t="shared" si="51"/>
        <v>0</v>
      </c>
      <c r="AF68" s="213">
        <f t="shared" si="51"/>
        <v>0</v>
      </c>
      <c r="AG68" s="214">
        <f t="shared" si="51"/>
        <v>0</v>
      </c>
      <c r="AH68" s="183"/>
      <c r="AI68" s="215">
        <f t="shared" si="41"/>
        <v>10437.878400000001</v>
      </c>
    </row>
    <row r="69" spans="1:35" ht="14.45" customHeight="1" x14ac:dyDescent="0.25">
      <c r="A69" s="69" t="s">
        <v>204</v>
      </c>
      <c r="B69" s="70" t="s">
        <v>90</v>
      </c>
      <c r="E69" s="220">
        <f t="shared" ref="E69:AG69" si="52">E52*E$21</f>
        <v>14.572800000000001</v>
      </c>
      <c r="F69" s="221">
        <f t="shared" si="52"/>
        <v>14.572800000000001</v>
      </c>
      <c r="G69" s="221">
        <f t="shared" si="52"/>
        <v>14.572800000000001</v>
      </c>
      <c r="H69" s="221">
        <f t="shared" si="52"/>
        <v>14.572800000000001</v>
      </c>
      <c r="I69" s="221">
        <f t="shared" si="52"/>
        <v>14.572800000000001</v>
      </c>
      <c r="J69" s="221">
        <f t="shared" si="52"/>
        <v>14.572800000000001</v>
      </c>
      <c r="K69" s="221">
        <f t="shared" si="52"/>
        <v>14.572800000000001</v>
      </c>
      <c r="L69" s="221">
        <f t="shared" si="52"/>
        <v>14.572800000000001</v>
      </c>
      <c r="M69" s="221">
        <f t="shared" si="52"/>
        <v>0</v>
      </c>
      <c r="N69" s="221">
        <f t="shared" si="52"/>
        <v>0</v>
      </c>
      <c r="O69" s="221">
        <f t="shared" si="52"/>
        <v>0</v>
      </c>
      <c r="P69" s="221">
        <f t="shared" si="52"/>
        <v>0</v>
      </c>
      <c r="Q69" s="221">
        <f t="shared" si="52"/>
        <v>0</v>
      </c>
      <c r="R69" s="221">
        <f t="shared" si="52"/>
        <v>0</v>
      </c>
      <c r="S69" s="221">
        <f t="shared" si="52"/>
        <v>0</v>
      </c>
      <c r="T69" s="221">
        <f t="shared" si="52"/>
        <v>0</v>
      </c>
      <c r="U69" s="221">
        <f t="shared" si="52"/>
        <v>0</v>
      </c>
      <c r="V69" s="221">
        <f t="shared" si="52"/>
        <v>0</v>
      </c>
      <c r="W69" s="221">
        <f t="shared" si="52"/>
        <v>0</v>
      </c>
      <c r="X69" s="221">
        <f t="shared" si="52"/>
        <v>0</v>
      </c>
      <c r="Y69" s="221">
        <f t="shared" si="52"/>
        <v>0</v>
      </c>
      <c r="Z69" s="221">
        <f t="shared" si="52"/>
        <v>0</v>
      </c>
      <c r="AA69" s="221">
        <f t="shared" si="52"/>
        <v>0</v>
      </c>
      <c r="AB69" s="221">
        <f t="shared" si="52"/>
        <v>0</v>
      </c>
      <c r="AC69" s="221">
        <f t="shared" si="52"/>
        <v>0</v>
      </c>
      <c r="AD69" s="221">
        <f t="shared" si="52"/>
        <v>0</v>
      </c>
      <c r="AE69" s="221">
        <f t="shared" si="52"/>
        <v>0</v>
      </c>
      <c r="AF69" s="221">
        <f t="shared" si="52"/>
        <v>0</v>
      </c>
      <c r="AG69" s="222">
        <f t="shared" si="52"/>
        <v>0</v>
      </c>
      <c r="AI69" s="223">
        <f t="shared" si="41"/>
        <v>116.58240000000001</v>
      </c>
    </row>
    <row r="70" spans="1:35" ht="14.45" customHeight="1" x14ac:dyDescent="0.25">
      <c r="B70" s="181" t="s">
        <v>203</v>
      </c>
      <c r="C70" s="186"/>
      <c r="E70" s="224">
        <f>SUM(E59:E69)</f>
        <v>145794.3076</v>
      </c>
      <c r="F70" s="224">
        <f t="shared" ref="F70" si="53">SUM(F59:F69)</f>
        <v>18485.068193602077</v>
      </c>
      <c r="G70" s="224">
        <f t="shared" ref="G70" si="54">SUM(G59:G69)</f>
        <v>16082.404846564348</v>
      </c>
      <c r="H70" s="224">
        <f t="shared" ref="H70" si="55">SUM(H59:H69)</f>
        <v>13439.475164822852</v>
      </c>
      <c r="I70" s="224">
        <f t="shared" ref="I70" si="56">SUM(I59:I69)</f>
        <v>10532.25251490721</v>
      </c>
      <c r="J70" s="224">
        <f t="shared" ref="J70" si="57">SUM(J59:J69)</f>
        <v>7334.3076000000001</v>
      </c>
      <c r="K70" s="224">
        <f t="shared" ref="K70" si="58">SUM(K59:K69)</f>
        <v>7334.3076000000001</v>
      </c>
      <c r="L70" s="224">
        <f t="shared" ref="L70" si="59">SUM(L59:L69)</f>
        <v>7334.3076000000001</v>
      </c>
      <c r="M70" s="224">
        <f t="shared" ref="M70" si="60">SUM(M59:M69)</f>
        <v>0</v>
      </c>
      <c r="N70" s="224">
        <f t="shared" ref="N70" si="61">SUM(N59:N69)</f>
        <v>0</v>
      </c>
      <c r="O70" s="224">
        <f t="shared" ref="O70" si="62">SUM(O59:O69)</f>
        <v>0</v>
      </c>
      <c r="P70" s="224">
        <f t="shared" ref="P70" si="63">SUM(P59:P69)</f>
        <v>0</v>
      </c>
      <c r="Q70" s="224">
        <f t="shared" ref="Q70" si="64">SUM(Q59:Q69)</f>
        <v>0</v>
      </c>
      <c r="R70" s="224">
        <f t="shared" ref="R70" si="65">SUM(R59:R69)</f>
        <v>0</v>
      </c>
      <c r="S70" s="224">
        <f t="shared" ref="S70" si="66">SUM(S59:S69)</f>
        <v>0</v>
      </c>
      <c r="T70" s="224">
        <f t="shared" ref="T70" si="67">SUM(T59:T69)</f>
        <v>0</v>
      </c>
      <c r="U70" s="224">
        <f t="shared" ref="U70" si="68">SUM(U59:U69)</f>
        <v>0</v>
      </c>
      <c r="V70" s="224">
        <f t="shared" ref="V70" si="69">SUM(V59:V69)</f>
        <v>0</v>
      </c>
      <c r="W70" s="224">
        <f t="shared" ref="W70" si="70">SUM(W59:W69)</f>
        <v>0</v>
      </c>
      <c r="X70" s="224">
        <f t="shared" ref="X70" si="71">SUM(X59:X69)</f>
        <v>0</v>
      </c>
      <c r="Y70" s="224">
        <f t="shared" ref="Y70" si="72">SUM(Y59:Y69)</f>
        <v>0</v>
      </c>
      <c r="Z70" s="224">
        <f t="shared" ref="Z70" si="73">SUM(Z59:Z69)</f>
        <v>0</v>
      </c>
      <c r="AA70" s="224">
        <f t="shared" ref="AA70" si="74">SUM(AA59:AA69)</f>
        <v>0</v>
      </c>
      <c r="AB70" s="224">
        <f t="shared" ref="AB70" si="75">SUM(AB59:AB69)</f>
        <v>0</v>
      </c>
      <c r="AC70" s="224">
        <f t="shared" ref="AC70" si="76">SUM(AC59:AC69)</f>
        <v>0</v>
      </c>
      <c r="AD70" s="224">
        <f t="shared" ref="AD70" si="77">SUM(AD59:AD69)</f>
        <v>0</v>
      </c>
      <c r="AE70" s="224">
        <f t="shared" ref="AE70" si="78">SUM(AE59:AE69)</f>
        <v>0</v>
      </c>
      <c r="AF70" s="224">
        <f t="shared" ref="AF70" si="79">SUM(AF59:AF69)</f>
        <v>0</v>
      </c>
      <c r="AG70" s="224">
        <f t="shared" ref="AG70" si="80">SUM(AG59:AG69)</f>
        <v>0</v>
      </c>
      <c r="AH70" s="183"/>
      <c r="AI70" s="225">
        <f>+SUM(E70:AG70)</f>
        <v>226336.4311198965</v>
      </c>
    </row>
    <row r="71" spans="1:35" ht="14.45" customHeight="1" x14ac:dyDescent="0.25"/>
    <row r="72" spans="1:35" ht="14.45" customHeight="1" x14ac:dyDescent="0.25"/>
    <row r="73" spans="1:35" ht="14.45" customHeight="1" x14ac:dyDescent="0.25"/>
    <row r="74" spans="1:35" ht="14.45" customHeight="1" x14ac:dyDescent="0.25"/>
    <row r="75" spans="1:35" ht="14.45" customHeight="1" x14ac:dyDescent="0.25"/>
    <row r="76" spans="1:35" ht="14.45" customHeight="1" x14ac:dyDescent="0.25"/>
    <row r="77" spans="1:35" ht="14.45" customHeight="1" x14ac:dyDescent="0.25"/>
    <row r="78" spans="1:35" ht="14.45" customHeight="1" x14ac:dyDescent="0.25"/>
    <row r="79" spans="1:35" ht="14.45" customHeight="1" x14ac:dyDescent="0.25"/>
    <row r="80" spans="1:35" ht="14.45" customHeight="1" x14ac:dyDescent="0.25"/>
    <row r="81" customFormat="1" ht="14.45" customHeight="1" x14ac:dyDescent="0.25"/>
    <row r="82" customFormat="1" ht="14.45" customHeight="1" x14ac:dyDescent="0.25"/>
    <row r="83" customFormat="1" ht="14.45" customHeight="1" x14ac:dyDescent="0.25"/>
    <row r="84" customFormat="1" ht="14.45" customHeight="1" x14ac:dyDescent="0.25"/>
    <row r="85" customFormat="1" ht="14.45" customHeight="1" x14ac:dyDescent="0.25"/>
    <row r="86" customFormat="1" ht="14.45" customHeight="1" x14ac:dyDescent="0.25"/>
    <row r="87" customFormat="1" ht="14.45" customHeight="1" x14ac:dyDescent="0.25"/>
    <row r="88" customFormat="1" ht="14.45" customHeight="1" x14ac:dyDescent="0.25"/>
    <row r="89" customFormat="1" ht="14.45" customHeight="1" x14ac:dyDescent="0.25"/>
  </sheetData>
  <mergeCells count="20">
    <mergeCell ref="A61:A66"/>
    <mergeCell ref="A67:A68"/>
    <mergeCell ref="A41:B41"/>
    <mergeCell ref="A42:A43"/>
    <mergeCell ref="A44:A49"/>
    <mergeCell ref="A50:A51"/>
    <mergeCell ref="A58:B58"/>
    <mergeCell ref="A59:A60"/>
    <mergeCell ref="A39:AI39"/>
    <mergeCell ref="A1:B1"/>
    <mergeCell ref="A3:B3"/>
    <mergeCell ref="A4:AI4"/>
    <mergeCell ref="A6:B6"/>
    <mergeCell ref="A7:A8"/>
    <mergeCell ref="A9:A14"/>
    <mergeCell ref="A15:A16"/>
    <mergeCell ref="A23:B23"/>
    <mergeCell ref="A24:A25"/>
    <mergeCell ref="A26:A31"/>
    <mergeCell ref="A32:A3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10204-DBA4-425F-A3EA-DFD30BD3E27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B0524F52F67E4081153C8615093171" ma:contentTypeVersion="10" ma:contentTypeDescription="Crear nuevo documento." ma:contentTypeScope="" ma:versionID="0370e9a715345cb64b415ff67f56b2c0">
  <xsd:schema xmlns:xsd="http://www.w3.org/2001/XMLSchema" xmlns:xs="http://www.w3.org/2001/XMLSchema" xmlns:p="http://schemas.microsoft.com/office/2006/metadata/properties" xmlns:ns2="23ffcbdd-96e7-4382-b510-0d674d67940b" xmlns:ns3="d4b2f266-c533-457a-89d9-a5c40a6bf05c" targetNamespace="http://schemas.microsoft.com/office/2006/metadata/properties" ma:root="true" ma:fieldsID="f207876ad1e30acd13f70482eef7e8e0" ns2:_="" ns3:_="">
    <xsd:import namespace="23ffcbdd-96e7-4382-b510-0d674d67940b"/>
    <xsd:import namespace="d4b2f266-c533-457a-89d9-a5c40a6bf0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fcbdd-96e7-4382-b510-0d674d6794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2f266-c533-457a-89d9-a5c40a6bf0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E0E69A-6DA2-4860-AFA1-B79086F6CCA6}"/>
</file>

<file path=customXml/itemProps2.xml><?xml version="1.0" encoding="utf-8"?>
<ds:datastoreItem xmlns:ds="http://schemas.openxmlformats.org/officeDocument/2006/customXml" ds:itemID="{FE610E25-55EE-4D54-A736-E8E532405C35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d4b2f266-c533-457a-89d9-a5c40a6bf05c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23ffcbdd-96e7-4382-b510-0d674d67940b"/>
  </ds:schemaRefs>
</ds:datastoreItem>
</file>

<file path=customXml/itemProps3.xml><?xml version="1.0" encoding="utf-8"?>
<ds:datastoreItem xmlns:ds="http://schemas.openxmlformats.org/officeDocument/2006/customXml" ds:itemID="{34902EFB-9383-44F1-8CCD-D098E5A33C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Instrucciones</vt:lpstr>
      <vt:lpstr>Parametros</vt:lpstr>
      <vt:lpstr>CTP</vt:lpstr>
      <vt:lpstr>CTP Valor Presente</vt:lpstr>
      <vt:lpstr>Fuentes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ORTIZ</dc:creator>
  <cp:lastModifiedBy>Juan Marquez</cp:lastModifiedBy>
  <dcterms:created xsi:type="dcterms:W3CDTF">2021-02-04T22:22:20Z</dcterms:created>
  <dcterms:modified xsi:type="dcterms:W3CDTF">2022-03-12T17:26:36Z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0x010100F2B0524F52F67E4081153C8615093171</vt:lpwstr>
  </property>
</Properties>
</file>