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niciosprl.sharepoint.com/Current_Clients/PCOGIZ2148_GIZ Guia Movilidad Electrica UY/Shared Documents/02. Project delivery/04. Work Packages/02. Guía ME Urbana/VERSIÓN FINAL/CTPs Versión Final/"/>
    </mc:Choice>
  </mc:AlternateContent>
  <xr:revisionPtr revIDLastSave="2149" documentId="8_{2879E754-E301-4292-B21F-0A5E11233BAA}" xr6:coauthVersionLast="47" xr6:coauthVersionMax="47" xr10:uidLastSave="{CDA61BFE-E26E-43C5-B574-B561D71A747E}"/>
  <bookViews>
    <workbookView xWindow="-120" yWindow="-120" windowWidth="20730" windowHeight="11160" xr2:uid="{819CA7C7-8216-42DE-BAA2-3E4C33D3323D}"/>
  </bookViews>
  <sheets>
    <sheet name="Instrucciones" sheetId="5" r:id="rId1"/>
    <sheet name="Parametros" sheetId="1" r:id="rId2"/>
    <sheet name="CTP" sheetId="2" r:id="rId3"/>
    <sheet name="CTP Valor Presente" sheetId="4" r:id="rId4"/>
    <sheet name="Fuentes" sheetId="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8" i="4" l="1"/>
  <c r="G68" i="4"/>
  <c r="AB67" i="4"/>
  <c r="Y66" i="4"/>
  <c r="AD65" i="4"/>
  <c r="V65" i="4"/>
  <c r="AC64" i="4"/>
  <c r="AA64" i="4"/>
  <c r="S64" i="4"/>
  <c r="U62" i="4"/>
  <c r="M62" i="4"/>
  <c r="L61" i="4"/>
  <c r="AC60" i="4"/>
  <c r="U60" i="4"/>
  <c r="E60" i="4"/>
  <c r="AB59" i="4"/>
  <c r="L59" i="4"/>
  <c r="F59" i="4"/>
  <c r="F52" i="4"/>
  <c r="G52" i="4"/>
  <c r="H52" i="4"/>
  <c r="I52" i="4"/>
  <c r="J52" i="4"/>
  <c r="K52" i="4"/>
  <c r="L52" i="4"/>
  <c r="E52" i="4"/>
  <c r="E69" i="4" s="1"/>
  <c r="F51" i="4"/>
  <c r="G51" i="4"/>
  <c r="H51" i="4"/>
  <c r="I51" i="4"/>
  <c r="J51" i="4"/>
  <c r="K51" i="4"/>
  <c r="K68" i="4" s="1"/>
  <c r="L51" i="4"/>
  <c r="E51" i="4"/>
  <c r="E68" i="4" s="1"/>
  <c r="L16" i="4"/>
  <c r="K16" i="4"/>
  <c r="J16" i="4"/>
  <c r="I16" i="4"/>
  <c r="H16" i="4"/>
  <c r="G16" i="4"/>
  <c r="F16" i="4"/>
  <c r="E16" i="4"/>
  <c r="E33" i="4" s="1"/>
  <c r="G50" i="4"/>
  <c r="H50" i="4"/>
  <c r="I50" i="4"/>
  <c r="J50" i="4"/>
  <c r="K50" i="4"/>
  <c r="L50" i="4"/>
  <c r="L67" i="4" s="1"/>
  <c r="F50" i="4"/>
  <c r="E50" i="4"/>
  <c r="E67" i="4" s="1"/>
  <c r="I49" i="4"/>
  <c r="H49" i="4"/>
  <c r="G49" i="4"/>
  <c r="F49" i="4"/>
  <c r="E49" i="4"/>
  <c r="E66" i="4" s="1"/>
  <c r="G48" i="4"/>
  <c r="G65" i="4" s="1"/>
  <c r="H48" i="4"/>
  <c r="I48" i="4"/>
  <c r="I65" i="4" s="1"/>
  <c r="J48" i="4"/>
  <c r="K48" i="4"/>
  <c r="L48" i="4"/>
  <c r="F48" i="4"/>
  <c r="E48" i="4"/>
  <c r="E46" i="4"/>
  <c r="E47" i="4"/>
  <c r="E45" i="4"/>
  <c r="AI45" i="4" s="1"/>
  <c r="E44" i="4"/>
  <c r="E43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AI51" i="4"/>
  <c r="J53" i="4"/>
  <c r="M46" i="4"/>
  <c r="M63" i="4" s="1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K24" i="4"/>
  <c r="L24" i="4"/>
  <c r="Z24" i="4"/>
  <c r="AA24" i="4"/>
  <c r="L25" i="4"/>
  <c r="M25" i="4"/>
  <c r="O25" i="4"/>
  <c r="U25" i="4"/>
  <c r="V25" i="4"/>
  <c r="W25" i="4"/>
  <c r="AC25" i="4"/>
  <c r="J26" i="4"/>
  <c r="L26" i="4"/>
  <c r="S26" i="4"/>
  <c r="T26" i="4"/>
  <c r="F27" i="4"/>
  <c r="G27" i="4"/>
  <c r="L27" i="4"/>
  <c r="T27" i="4"/>
  <c r="U27" i="4"/>
  <c r="W27" i="4"/>
  <c r="AC27" i="4"/>
  <c r="AD27" i="4"/>
  <c r="AE27" i="4"/>
  <c r="R28" i="4"/>
  <c r="T28" i="4"/>
  <c r="AA28" i="4"/>
  <c r="AB28" i="4"/>
  <c r="M29" i="4"/>
  <c r="N29" i="4"/>
  <c r="O29" i="4"/>
  <c r="T29" i="4"/>
  <c r="W29" i="4"/>
  <c r="AB29" i="4"/>
  <c r="AC29" i="4"/>
  <c r="AE29" i="4"/>
  <c r="K30" i="4"/>
  <c r="L30" i="4"/>
  <c r="T30" i="4"/>
  <c r="Z30" i="4"/>
  <c r="AB30" i="4"/>
  <c r="L31" i="4"/>
  <c r="T31" i="4"/>
  <c r="U31" i="4"/>
  <c r="V31" i="4"/>
  <c r="W31" i="4"/>
  <c r="AB31" i="4"/>
  <c r="AE31" i="4"/>
  <c r="I32" i="4"/>
  <c r="S32" i="4"/>
  <c r="T32" i="4"/>
  <c r="U32" i="4"/>
  <c r="AB32" i="4"/>
  <c r="AC32" i="4"/>
  <c r="M33" i="4"/>
  <c r="R33" i="4"/>
  <c r="T33" i="4"/>
  <c r="AA33" i="4"/>
  <c r="AB33" i="4"/>
  <c r="AC33" i="4"/>
  <c r="L34" i="4"/>
  <c r="M34" i="4"/>
  <c r="T34" i="4"/>
  <c r="U34" i="4"/>
  <c r="V34" i="4"/>
  <c r="AC34" i="4"/>
  <c r="AD34" i="4"/>
  <c r="AE34" i="4"/>
  <c r="E28" i="4"/>
  <c r="E29" i="4"/>
  <c r="E32" i="4"/>
  <c r="F17" i="4"/>
  <c r="F34" i="4" s="1"/>
  <c r="G17" i="4"/>
  <c r="G34" i="4" s="1"/>
  <c r="H17" i="4"/>
  <c r="H34" i="4" s="1"/>
  <c r="I17" i="4"/>
  <c r="I34" i="4" s="1"/>
  <c r="J17" i="4"/>
  <c r="J34" i="4" s="1"/>
  <c r="K17" i="4"/>
  <c r="L17" i="4"/>
  <c r="E17" i="4"/>
  <c r="F15" i="4"/>
  <c r="G15" i="4"/>
  <c r="G32" i="4" s="1"/>
  <c r="H15" i="4"/>
  <c r="I15" i="4"/>
  <c r="J15" i="4"/>
  <c r="J32" i="4" s="1"/>
  <c r="K15" i="4"/>
  <c r="L15" i="4"/>
  <c r="L32" i="4" s="1"/>
  <c r="E15" i="4"/>
  <c r="I14" i="4"/>
  <c r="H14" i="4"/>
  <c r="G14" i="4"/>
  <c r="G31" i="4" s="1"/>
  <c r="F14" i="4"/>
  <c r="F31" i="4" s="1"/>
  <c r="E14" i="4"/>
  <c r="E31" i="4" s="1"/>
  <c r="G13" i="4"/>
  <c r="H13" i="4"/>
  <c r="H30" i="4" s="1"/>
  <c r="I13" i="4"/>
  <c r="J13" i="4"/>
  <c r="K13" i="4"/>
  <c r="L13" i="4"/>
  <c r="F13" i="4"/>
  <c r="F30" i="4" s="1"/>
  <c r="E13" i="4"/>
  <c r="E30" i="4" s="1"/>
  <c r="E9" i="4"/>
  <c r="E26" i="4" s="1"/>
  <c r="E10" i="4"/>
  <c r="E27" i="4" s="1"/>
  <c r="E11" i="4"/>
  <c r="E12" i="4"/>
  <c r="E8" i="4"/>
  <c r="E25" i="4" s="1"/>
  <c r="E7" i="4"/>
  <c r="E24" i="4" s="1"/>
  <c r="AG21" i="4"/>
  <c r="AG30" i="4" s="1"/>
  <c r="AF21" i="4"/>
  <c r="AF63" i="4" s="1"/>
  <c r="AE21" i="4"/>
  <c r="AE62" i="4" s="1"/>
  <c r="AD21" i="4"/>
  <c r="AD25" i="4" s="1"/>
  <c r="AC21" i="4"/>
  <c r="AC62" i="4" s="1"/>
  <c r="AB21" i="4"/>
  <c r="AA21" i="4"/>
  <c r="AA66" i="4" s="1"/>
  <c r="Z21" i="4"/>
  <c r="Z63" i="4" s="1"/>
  <c r="Y21" i="4"/>
  <c r="X21" i="4"/>
  <c r="X24" i="4" s="1"/>
  <c r="W21" i="4"/>
  <c r="W68" i="4" s="1"/>
  <c r="V21" i="4"/>
  <c r="V29" i="4" s="1"/>
  <c r="U21" i="4"/>
  <c r="U64" i="4" s="1"/>
  <c r="T21" i="4"/>
  <c r="T61" i="4" s="1"/>
  <c r="S21" i="4"/>
  <c r="R21" i="4"/>
  <c r="R63" i="4" s="1"/>
  <c r="Q21" i="4"/>
  <c r="Q68" i="4" s="1"/>
  <c r="P21" i="4"/>
  <c r="P25" i="4" s="1"/>
  <c r="O21" i="4"/>
  <c r="O60" i="4" s="1"/>
  <c r="N21" i="4"/>
  <c r="N65" i="4" s="1"/>
  <c r="M21" i="4"/>
  <c r="L21" i="4"/>
  <c r="L69" i="4" s="1"/>
  <c r="K21" i="4"/>
  <c r="K28" i="4" s="1"/>
  <c r="J21" i="4"/>
  <c r="J28" i="4" s="1"/>
  <c r="I21" i="4"/>
  <c r="I28" i="4" s="1"/>
  <c r="H21" i="4"/>
  <c r="G21" i="4"/>
  <c r="G29" i="4" s="1"/>
  <c r="F21" i="4"/>
  <c r="F65" i="4" s="1"/>
  <c r="E21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1" i="4"/>
  <c r="M28" i="4" s="1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76" i="1"/>
  <c r="L76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H76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H78" i="1"/>
  <c r="F76" i="1"/>
  <c r="E76" i="1"/>
  <c r="D78" i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D77" i="1"/>
  <c r="D76" i="1"/>
  <c r="C78" i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77" i="1"/>
  <c r="B77" i="1"/>
  <c r="C76" i="1"/>
  <c r="B78" i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76" i="1"/>
  <c r="L68" i="4" l="1"/>
  <c r="J59" i="4"/>
  <c r="AD59" i="4"/>
  <c r="W60" i="4"/>
  <c r="P61" i="4"/>
  <c r="O62" i="4"/>
  <c r="X65" i="4"/>
  <c r="AD67" i="4"/>
  <c r="AG68" i="4"/>
  <c r="H64" i="4"/>
  <c r="H59" i="4"/>
  <c r="H62" i="4"/>
  <c r="H60" i="4"/>
  <c r="X26" i="4"/>
  <c r="Y69" i="4"/>
  <c r="Y61" i="4"/>
  <c r="Y64" i="4"/>
  <c r="Y67" i="4"/>
  <c r="Y59" i="4"/>
  <c r="Y25" i="4"/>
  <c r="Y27" i="4"/>
  <c r="Y29" i="4"/>
  <c r="Y31" i="4"/>
  <c r="Y62" i="4"/>
  <c r="Y65" i="4"/>
  <c r="Y63" i="4"/>
  <c r="Y30" i="4"/>
  <c r="Q28" i="4"/>
  <c r="I53" i="4"/>
  <c r="R64" i="4"/>
  <c r="R67" i="4"/>
  <c r="R62" i="4"/>
  <c r="R65" i="4"/>
  <c r="R25" i="4"/>
  <c r="R27" i="4"/>
  <c r="R29" i="4"/>
  <c r="R31" i="4"/>
  <c r="R34" i="4"/>
  <c r="R68" i="4"/>
  <c r="R60" i="4"/>
  <c r="R66" i="4"/>
  <c r="R32" i="4"/>
  <c r="X29" i="4"/>
  <c r="AG26" i="4"/>
  <c r="Y24" i="4"/>
  <c r="AI46" i="4"/>
  <c r="E63" i="4"/>
  <c r="R61" i="4"/>
  <c r="AG66" i="4"/>
  <c r="S67" i="4"/>
  <c r="S59" i="4"/>
  <c r="S62" i="4"/>
  <c r="S65" i="4"/>
  <c r="S68" i="4"/>
  <c r="S60" i="4"/>
  <c r="S63" i="4"/>
  <c r="S25" i="4"/>
  <c r="S27" i="4"/>
  <c r="S29" i="4"/>
  <c r="S31" i="4"/>
  <c r="S34" i="4"/>
  <c r="S69" i="4"/>
  <c r="S61" i="4"/>
  <c r="Y33" i="4"/>
  <c r="Q32" i="4"/>
  <c r="I30" i="4"/>
  <c r="L29" i="4"/>
  <c r="Z28" i="4"/>
  <c r="L28" i="4"/>
  <c r="O27" i="4"/>
  <c r="AF26" i="4"/>
  <c r="R26" i="4"/>
  <c r="AF25" i="4"/>
  <c r="G25" i="4"/>
  <c r="J24" i="4"/>
  <c r="J68" i="4"/>
  <c r="AI68" i="4" s="1"/>
  <c r="N59" i="4"/>
  <c r="G60" i="4"/>
  <c r="W62" i="4"/>
  <c r="AF65" i="4"/>
  <c r="F67" i="4"/>
  <c r="I68" i="4"/>
  <c r="X66" i="4"/>
  <c r="X69" i="4"/>
  <c r="X61" i="4"/>
  <c r="X64" i="4"/>
  <c r="X67" i="4"/>
  <c r="X59" i="4"/>
  <c r="X62" i="4"/>
  <c r="X68" i="4"/>
  <c r="X60" i="4"/>
  <c r="AF32" i="4"/>
  <c r="AF27" i="4"/>
  <c r="P24" i="4"/>
  <c r="H32" i="4"/>
  <c r="Z64" i="4"/>
  <c r="Z67" i="4"/>
  <c r="Z62" i="4"/>
  <c r="Z65" i="4"/>
  <c r="Z25" i="4"/>
  <c r="Z35" i="4" s="1"/>
  <c r="Z27" i="4"/>
  <c r="Z29" i="4"/>
  <c r="Z31" i="4"/>
  <c r="Z34" i="4"/>
  <c r="Z68" i="4"/>
  <c r="Z60" i="4"/>
  <c r="Z66" i="4"/>
  <c r="P33" i="4"/>
  <c r="X30" i="4"/>
  <c r="P28" i="4"/>
  <c r="Y60" i="4"/>
  <c r="Q34" i="4"/>
  <c r="L62" i="4"/>
  <c r="L65" i="4"/>
  <c r="L70" i="4" s="1"/>
  <c r="L60" i="4"/>
  <c r="L63" i="4"/>
  <c r="L66" i="4"/>
  <c r="L64" i="4"/>
  <c r="T62" i="4"/>
  <c r="T65" i="4"/>
  <c r="T68" i="4"/>
  <c r="T60" i="4"/>
  <c r="T63" i="4"/>
  <c r="T66" i="4"/>
  <c r="T64" i="4"/>
  <c r="AB62" i="4"/>
  <c r="AB65" i="4"/>
  <c r="AB68" i="4"/>
  <c r="AB60" i="4"/>
  <c r="AB70" i="4" s="1"/>
  <c r="AB63" i="4"/>
  <c r="AB66" i="4"/>
  <c r="AB64" i="4"/>
  <c r="I31" i="4"/>
  <c r="F32" i="4"/>
  <c r="AB34" i="4"/>
  <c r="P34" i="4"/>
  <c r="X33" i="4"/>
  <c r="L33" i="4"/>
  <c r="L35" i="4" s="1"/>
  <c r="Z32" i="4"/>
  <c r="P32" i="4"/>
  <c r="AD31" i="4"/>
  <c r="P31" i="4"/>
  <c r="S30" i="4"/>
  <c r="H29" i="4"/>
  <c r="Y28" i="4"/>
  <c r="AB27" i="4"/>
  <c r="N27" i="4"/>
  <c r="AB26" i="4"/>
  <c r="Q26" i="4"/>
  <c r="AE25" i="4"/>
  <c r="T25" i="4"/>
  <c r="F25" i="4"/>
  <c r="T24" i="4"/>
  <c r="T35" i="4" s="1"/>
  <c r="I24" i="4"/>
  <c r="F66" i="4"/>
  <c r="R59" i="4"/>
  <c r="I60" i="4"/>
  <c r="AI60" i="4" s="1"/>
  <c r="AE60" i="4"/>
  <c r="Z61" i="4"/>
  <c r="I66" i="4"/>
  <c r="O68" i="4"/>
  <c r="R69" i="4"/>
  <c r="AF66" i="4"/>
  <c r="AF69" i="4"/>
  <c r="AF61" i="4"/>
  <c r="AF64" i="4"/>
  <c r="AF67" i="4"/>
  <c r="AF59" i="4"/>
  <c r="AF62" i="4"/>
  <c r="AF68" i="4"/>
  <c r="AF60" i="4"/>
  <c r="AF34" i="4"/>
  <c r="AG69" i="4"/>
  <c r="AG61" i="4"/>
  <c r="AG64" i="4"/>
  <c r="AG67" i="4"/>
  <c r="AG59" i="4"/>
  <c r="AG25" i="4"/>
  <c r="AG27" i="4"/>
  <c r="AG29" i="4"/>
  <c r="AG31" i="4"/>
  <c r="AG62" i="4"/>
  <c r="AG65" i="4"/>
  <c r="AG63" i="4"/>
  <c r="H31" i="4"/>
  <c r="AF31" i="4"/>
  <c r="H25" i="4"/>
  <c r="J69" i="4"/>
  <c r="K67" i="4"/>
  <c r="K59" i="4"/>
  <c r="K62" i="4"/>
  <c r="K60" i="4"/>
  <c r="K63" i="4"/>
  <c r="K25" i="4"/>
  <c r="K27" i="4"/>
  <c r="K29" i="4"/>
  <c r="K31" i="4"/>
  <c r="K69" i="4"/>
  <c r="K61" i="4"/>
  <c r="AA67" i="4"/>
  <c r="AA59" i="4"/>
  <c r="AA62" i="4"/>
  <c r="AA65" i="4"/>
  <c r="AA68" i="4"/>
  <c r="AA60" i="4"/>
  <c r="AA63" i="4"/>
  <c r="AA25" i="4"/>
  <c r="AA27" i="4"/>
  <c r="AA29" i="4"/>
  <c r="AA31" i="4"/>
  <c r="AA34" i="4"/>
  <c r="AA69" i="4"/>
  <c r="AA61" i="4"/>
  <c r="AA32" i="4"/>
  <c r="E65" i="4"/>
  <c r="M65" i="4"/>
  <c r="M68" i="4"/>
  <c r="M24" i="4"/>
  <c r="M26" i="4"/>
  <c r="M30" i="4"/>
  <c r="M32" i="4"/>
  <c r="M66" i="4"/>
  <c r="M69" i="4"/>
  <c r="M61" i="4"/>
  <c r="M67" i="4"/>
  <c r="M59" i="4"/>
  <c r="U65" i="4"/>
  <c r="U68" i="4"/>
  <c r="U63" i="4"/>
  <c r="U24" i="4"/>
  <c r="U26" i="4"/>
  <c r="U28" i="4"/>
  <c r="U30" i="4"/>
  <c r="U66" i="4"/>
  <c r="U69" i="4"/>
  <c r="U61" i="4"/>
  <c r="U67" i="4"/>
  <c r="U59" i="4"/>
  <c r="AC65" i="4"/>
  <c r="AC68" i="4"/>
  <c r="AC63" i="4"/>
  <c r="AC24" i="4"/>
  <c r="AC26" i="4"/>
  <c r="AC28" i="4"/>
  <c r="AC30" i="4"/>
  <c r="AC66" i="4"/>
  <c r="AC69" i="4"/>
  <c r="AC61" i="4"/>
  <c r="AC67" i="4"/>
  <c r="AC59" i="4"/>
  <c r="E34" i="4"/>
  <c r="E35" i="4" s="1"/>
  <c r="Y34" i="4"/>
  <c r="O34" i="4"/>
  <c r="AG33" i="4"/>
  <c r="U33" i="4"/>
  <c r="I33" i="4"/>
  <c r="Y32" i="4"/>
  <c r="AC31" i="4"/>
  <c r="O31" i="4"/>
  <c r="AF30" i="4"/>
  <c r="R30" i="4"/>
  <c r="AF29" i="4"/>
  <c r="U29" i="4"/>
  <c r="X28" i="4"/>
  <c r="X27" i="4"/>
  <c r="M27" i="4"/>
  <c r="AA26" i="4"/>
  <c r="P26" i="4"/>
  <c r="AG24" i="4"/>
  <c r="S24" i="4"/>
  <c r="H24" i="4"/>
  <c r="I67" i="4"/>
  <c r="J33" i="4"/>
  <c r="H68" i="4"/>
  <c r="H69" i="4"/>
  <c r="T59" i="4"/>
  <c r="M60" i="4"/>
  <c r="AG60" i="4"/>
  <c r="AB61" i="4"/>
  <c r="E64" i="4"/>
  <c r="H65" i="4"/>
  <c r="K66" i="4"/>
  <c r="N67" i="4"/>
  <c r="T69" i="4"/>
  <c r="P66" i="4"/>
  <c r="P69" i="4"/>
  <c r="P64" i="4"/>
  <c r="P67" i="4"/>
  <c r="P59" i="4"/>
  <c r="P62" i="4"/>
  <c r="P68" i="4"/>
  <c r="P60" i="4"/>
  <c r="AF28" i="4"/>
  <c r="P63" i="4"/>
  <c r="Q69" i="4"/>
  <c r="Q61" i="4"/>
  <c r="Q70" i="4" s="1"/>
  <c r="Q64" i="4"/>
  <c r="Q67" i="4"/>
  <c r="Q59" i="4"/>
  <c r="Q25" i="4"/>
  <c r="Q27" i="4"/>
  <c r="Q29" i="4"/>
  <c r="Q31" i="4"/>
  <c r="Q62" i="4"/>
  <c r="Q65" i="4"/>
  <c r="Q63" i="4"/>
  <c r="J64" i="4"/>
  <c r="J67" i="4"/>
  <c r="J62" i="4"/>
  <c r="J25" i="4"/>
  <c r="J27" i="4"/>
  <c r="J29" i="4"/>
  <c r="J31" i="4"/>
  <c r="J60" i="4"/>
  <c r="J66" i="4"/>
  <c r="Z33" i="4"/>
  <c r="J30" i="4"/>
  <c r="F60" i="4"/>
  <c r="F63" i="4"/>
  <c r="F61" i="4"/>
  <c r="F70" i="4" s="1"/>
  <c r="F24" i="4"/>
  <c r="F26" i="4"/>
  <c r="F28" i="4"/>
  <c r="F64" i="4"/>
  <c r="F62" i="4"/>
  <c r="V68" i="4"/>
  <c r="V60" i="4"/>
  <c r="V63" i="4"/>
  <c r="V66" i="4"/>
  <c r="V69" i="4"/>
  <c r="V61" i="4"/>
  <c r="V24" i="4"/>
  <c r="V26" i="4"/>
  <c r="V28" i="4"/>
  <c r="V30" i="4"/>
  <c r="V32" i="4"/>
  <c r="V33" i="4"/>
  <c r="V64" i="4"/>
  <c r="V62" i="4"/>
  <c r="X34" i="4"/>
  <c r="AF33" i="4"/>
  <c r="F33" i="4"/>
  <c r="X32" i="4"/>
  <c r="K32" i="4"/>
  <c r="Q30" i="4"/>
  <c r="F29" i="4"/>
  <c r="Z26" i="4"/>
  <c r="AF24" i="4"/>
  <c r="R24" i="4"/>
  <c r="K65" i="4"/>
  <c r="H66" i="4"/>
  <c r="H67" i="4"/>
  <c r="G69" i="4"/>
  <c r="V59" i="4"/>
  <c r="H61" i="4"/>
  <c r="E62" i="4"/>
  <c r="H63" i="4"/>
  <c r="K64" i="4"/>
  <c r="Q66" i="4"/>
  <c r="T67" i="4"/>
  <c r="Z69" i="4"/>
  <c r="X25" i="4"/>
  <c r="X35" i="4" s="1"/>
  <c r="AI69" i="4"/>
  <c r="I69" i="4"/>
  <c r="I61" i="4"/>
  <c r="I64" i="4"/>
  <c r="I59" i="4"/>
  <c r="I25" i="4"/>
  <c r="I27" i="4"/>
  <c r="I29" i="4"/>
  <c r="I62" i="4"/>
  <c r="I63" i="4"/>
  <c r="Q33" i="4"/>
  <c r="I26" i="4"/>
  <c r="P27" i="4"/>
  <c r="H26" i="4"/>
  <c r="X63" i="4"/>
  <c r="N68" i="4"/>
  <c r="N60" i="4"/>
  <c r="N63" i="4"/>
  <c r="N66" i="4"/>
  <c r="N69" i="4"/>
  <c r="N61" i="4"/>
  <c r="N24" i="4"/>
  <c r="N26" i="4"/>
  <c r="N28" i="4"/>
  <c r="N30" i="4"/>
  <c r="N32" i="4"/>
  <c r="N33" i="4"/>
  <c r="N64" i="4"/>
  <c r="N62" i="4"/>
  <c r="AD68" i="4"/>
  <c r="AD60" i="4"/>
  <c r="AD63" i="4"/>
  <c r="AD66" i="4"/>
  <c r="AD69" i="4"/>
  <c r="AD61" i="4"/>
  <c r="AD24" i="4"/>
  <c r="AD26" i="4"/>
  <c r="AD28" i="4"/>
  <c r="AD30" i="4"/>
  <c r="AD32" i="4"/>
  <c r="AD33" i="4"/>
  <c r="AD64" i="4"/>
  <c r="AD62" i="4"/>
  <c r="N34" i="4"/>
  <c r="N31" i="4"/>
  <c r="AI7" i="4"/>
  <c r="G63" i="4"/>
  <c r="G66" i="4"/>
  <c r="G61" i="4"/>
  <c r="G64" i="4"/>
  <c r="G59" i="4"/>
  <c r="G24" i="4"/>
  <c r="G26" i="4"/>
  <c r="G28" i="4"/>
  <c r="O63" i="4"/>
  <c r="O66" i="4"/>
  <c r="O69" i="4"/>
  <c r="O61" i="4"/>
  <c r="O64" i="4"/>
  <c r="O67" i="4"/>
  <c r="O59" i="4"/>
  <c r="O24" i="4"/>
  <c r="O26" i="4"/>
  <c r="O28" i="4"/>
  <c r="O30" i="4"/>
  <c r="O32" i="4"/>
  <c r="O33" i="4"/>
  <c r="O65" i="4"/>
  <c r="W63" i="4"/>
  <c r="W66" i="4"/>
  <c r="W69" i="4"/>
  <c r="W61" i="4"/>
  <c r="W64" i="4"/>
  <c r="W67" i="4"/>
  <c r="W59" i="4"/>
  <c r="W24" i="4"/>
  <c r="W26" i="4"/>
  <c r="W28" i="4"/>
  <c r="W30" i="4"/>
  <c r="W32" i="4"/>
  <c r="W35" i="4" s="1"/>
  <c r="W33" i="4"/>
  <c r="W65" i="4"/>
  <c r="AE63" i="4"/>
  <c r="AE66" i="4"/>
  <c r="AE69" i="4"/>
  <c r="AE61" i="4"/>
  <c r="AE64" i="4"/>
  <c r="AE67" i="4"/>
  <c r="AE59" i="4"/>
  <c r="AE24" i="4"/>
  <c r="AE26" i="4"/>
  <c r="AE28" i="4"/>
  <c r="AE30" i="4"/>
  <c r="AE32" i="4"/>
  <c r="AE33" i="4"/>
  <c r="AE65" i="4"/>
  <c r="G30" i="4"/>
  <c r="K34" i="4"/>
  <c r="AG34" i="4"/>
  <c r="W34" i="4"/>
  <c r="S33" i="4"/>
  <c r="AG32" i="4"/>
  <c r="X31" i="4"/>
  <c r="M31" i="4"/>
  <c r="AA30" i="4"/>
  <c r="P30" i="4"/>
  <c r="AD29" i="4"/>
  <c r="P29" i="4"/>
  <c r="AG28" i="4"/>
  <c r="S28" i="4"/>
  <c r="H28" i="4"/>
  <c r="V27" i="4"/>
  <c r="H27" i="4"/>
  <c r="Y26" i="4"/>
  <c r="K26" i="4"/>
  <c r="AB25" i="4"/>
  <c r="N25" i="4"/>
  <c r="AB24" i="4"/>
  <c r="Q24" i="4"/>
  <c r="Q35" i="4" s="1"/>
  <c r="E61" i="4"/>
  <c r="AI61" i="4" s="1"/>
  <c r="J65" i="4"/>
  <c r="G67" i="4"/>
  <c r="F68" i="4"/>
  <c r="F69" i="4"/>
  <c r="Z59" i="4"/>
  <c r="Z70" i="4" s="1"/>
  <c r="Q60" i="4"/>
  <c r="J61" i="4"/>
  <c r="G62" i="4"/>
  <c r="J63" i="4"/>
  <c r="M64" i="4"/>
  <c r="P65" i="4"/>
  <c r="S66" i="4"/>
  <c r="V67" i="4"/>
  <c r="Y68" i="4"/>
  <c r="AB69" i="4"/>
  <c r="M53" i="4"/>
  <c r="G33" i="4"/>
  <c r="K53" i="4"/>
  <c r="H33" i="4"/>
  <c r="K33" i="4"/>
  <c r="F53" i="4"/>
  <c r="G35" i="4"/>
  <c r="L53" i="4"/>
  <c r="AI50" i="4"/>
  <c r="G53" i="4"/>
  <c r="AI47" i="4"/>
  <c r="H53" i="4"/>
  <c r="AI43" i="4"/>
  <c r="AI49" i="4"/>
  <c r="AI44" i="4"/>
  <c r="AI48" i="4"/>
  <c r="AI52" i="4"/>
  <c r="E18" i="4"/>
  <c r="AI8" i="4"/>
  <c r="AI13" i="4"/>
  <c r="AI9" i="4"/>
  <c r="I18" i="4"/>
  <c r="AI16" i="4"/>
  <c r="H18" i="4"/>
  <c r="AI17" i="4"/>
  <c r="AI12" i="4"/>
  <c r="AI10" i="4"/>
  <c r="AI14" i="4"/>
  <c r="K18" i="4"/>
  <c r="M18" i="4"/>
  <c r="L18" i="4"/>
  <c r="AI11" i="4"/>
  <c r="F18" i="4"/>
  <c r="G18" i="4"/>
  <c r="AI15" i="4"/>
  <c r="J18" i="4"/>
  <c r="F77" i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E77" i="1"/>
  <c r="E61" i="1"/>
  <c r="C66" i="1"/>
  <c r="C63" i="1"/>
  <c r="C58" i="1"/>
  <c r="C61" i="1"/>
  <c r="B67" i="1"/>
  <c r="C67" i="1" s="1"/>
  <c r="B64" i="1"/>
  <c r="C64" i="1" s="1"/>
  <c r="J35" i="4" l="1"/>
  <c r="K35" i="4"/>
  <c r="AD35" i="4"/>
  <c r="AI64" i="4"/>
  <c r="I35" i="4"/>
  <c r="AA70" i="4"/>
  <c r="AF70" i="4"/>
  <c r="S70" i="4"/>
  <c r="H35" i="4"/>
  <c r="W70" i="4"/>
  <c r="G70" i="4"/>
  <c r="F35" i="4"/>
  <c r="H70" i="4"/>
  <c r="O70" i="4"/>
  <c r="O35" i="4"/>
  <c r="AI62" i="4"/>
  <c r="AI65" i="4"/>
  <c r="X70" i="4"/>
  <c r="AD70" i="4"/>
  <c r="Y35" i="4"/>
  <c r="I70" i="4"/>
  <c r="R35" i="4"/>
  <c r="S35" i="4"/>
  <c r="U70" i="4"/>
  <c r="U35" i="4"/>
  <c r="AA35" i="4"/>
  <c r="AI63" i="4"/>
  <c r="AE70" i="4"/>
  <c r="AF35" i="4"/>
  <c r="V35" i="4"/>
  <c r="AI67" i="4"/>
  <c r="AG35" i="4"/>
  <c r="K70" i="4"/>
  <c r="AG70" i="4"/>
  <c r="J70" i="4"/>
  <c r="T70" i="4"/>
  <c r="Y70" i="4"/>
  <c r="P35" i="4"/>
  <c r="V70" i="4"/>
  <c r="R70" i="4"/>
  <c r="AB35" i="4"/>
  <c r="AE35" i="4"/>
  <c r="N35" i="4"/>
  <c r="P70" i="4"/>
  <c r="AC70" i="4"/>
  <c r="AC35" i="4"/>
  <c r="M70" i="4"/>
  <c r="M35" i="4"/>
  <c r="AI66" i="4"/>
  <c r="N70" i="4"/>
  <c r="AI31" i="4"/>
  <c r="AI32" i="4"/>
  <c r="AI28" i="4"/>
  <c r="AI27" i="4"/>
  <c r="AI29" i="4"/>
  <c r="AI18" i="4"/>
  <c r="AI34" i="4"/>
  <c r="AI26" i="4"/>
  <c r="AI24" i="4"/>
  <c r="AI33" i="4"/>
  <c r="AI30" i="4"/>
  <c r="AI25" i="4"/>
  <c r="E78" i="1"/>
  <c r="AI35" i="4" l="1"/>
  <c r="E79" i="1"/>
  <c r="E80" i="1" l="1"/>
  <c r="E81" i="1" l="1"/>
  <c r="E82" i="1" l="1"/>
  <c r="E83" i="1" l="1"/>
  <c r="E84" i="1" l="1"/>
  <c r="E85" i="1" l="1"/>
  <c r="E86" i="1" l="1"/>
  <c r="E87" i="1" l="1"/>
  <c r="E88" i="1" l="1"/>
  <c r="E89" i="1" l="1"/>
  <c r="E90" i="1" l="1"/>
  <c r="E91" i="1" l="1"/>
  <c r="E92" i="1" l="1"/>
  <c r="E93" i="1" l="1"/>
  <c r="E94" i="1" l="1"/>
  <c r="E95" i="1" l="1"/>
  <c r="E96" i="1" l="1"/>
  <c r="E97" i="1" l="1"/>
  <c r="E98" i="1" l="1"/>
  <c r="E99" i="1" l="1"/>
  <c r="E100" i="1" l="1"/>
  <c r="E101" i="1" l="1"/>
  <c r="E102" i="1" l="1"/>
  <c r="E103" i="1" l="1"/>
  <c r="E104" i="1" l="1"/>
  <c r="I38" i="1" l="1"/>
  <c r="C18" i="1"/>
  <c r="I8" i="1"/>
  <c r="D162" i="2" l="1"/>
  <c r="H12" i="1" l="1"/>
  <c r="H11" i="1"/>
  <c r="H9" i="1"/>
  <c r="I7" i="1"/>
  <c r="H7" i="1"/>
  <c r="I6" i="1"/>
  <c r="C19" i="1" l="1"/>
  <c r="I9" i="1" s="1"/>
  <c r="E5" i="2" l="1"/>
  <c r="E4" i="2"/>
  <c r="E31" i="2" l="1"/>
  <c r="E9" i="2"/>
  <c r="E100" i="2" s="1"/>
  <c r="E7" i="2"/>
  <c r="E98" i="2" s="1"/>
  <c r="E8" i="2"/>
  <c r="E99" i="2" s="1"/>
  <c r="E10" i="2"/>
  <c r="E101" i="2" s="1"/>
  <c r="C39" i="1"/>
  <c r="F100" i="2" l="1"/>
  <c r="F99" i="2"/>
  <c r="F101" i="2"/>
  <c r="C138" i="1"/>
  <c r="C12" i="2"/>
  <c r="I5" i="1" l="1"/>
  <c r="H5" i="1"/>
  <c r="E6" i="2" l="1"/>
  <c r="E14" i="2" s="1"/>
  <c r="C42" i="1"/>
  <c r="E15" i="2" l="1"/>
  <c r="E105" i="2"/>
  <c r="F105" i="2"/>
  <c r="E11" i="2"/>
  <c r="E102" i="2" s="1"/>
  <c r="E106" i="2" l="1"/>
  <c r="E42" i="4"/>
  <c r="F106" i="2"/>
  <c r="E30" i="2"/>
  <c r="C4" i="2"/>
  <c r="C43" i="1"/>
  <c r="C40" i="1"/>
  <c r="AI42" i="4" l="1"/>
  <c r="E53" i="4"/>
  <c r="AI53" i="4" s="1"/>
  <c r="E59" i="4"/>
  <c r="D37" i="2"/>
  <c r="D38" i="2"/>
  <c r="F121" i="2" s="1"/>
  <c r="C15" i="2"/>
  <c r="C38" i="2"/>
  <c r="C121" i="2" s="1"/>
  <c r="C9" i="2"/>
  <c r="D43" i="2"/>
  <c r="F126" i="2" s="1"/>
  <c r="D44" i="2"/>
  <c r="F127" i="2" s="1"/>
  <c r="D41" i="2"/>
  <c r="D42" i="2"/>
  <c r="F125" i="2" s="1"/>
  <c r="C10" i="2"/>
  <c r="C7" i="2"/>
  <c r="E12" i="2"/>
  <c r="D46" i="2" s="1"/>
  <c r="C139" i="1"/>
  <c r="C141" i="1" s="1"/>
  <c r="C8" i="2"/>
  <c r="C99" i="2" s="1"/>
  <c r="C6" i="2"/>
  <c r="D39" i="2"/>
  <c r="E96" i="2"/>
  <c r="F96" i="2" s="1"/>
  <c r="D45" i="2"/>
  <c r="F128" i="2" s="1"/>
  <c r="B138" i="2"/>
  <c r="B151" i="2" s="1"/>
  <c r="F98" i="2"/>
  <c r="C96" i="2"/>
  <c r="D96" i="2" s="1"/>
  <c r="D161" i="2"/>
  <c r="H38" i="1"/>
  <c r="D163" i="2" s="1"/>
  <c r="AI59" i="4" l="1"/>
  <c r="E70" i="4"/>
  <c r="AI70" i="4" s="1"/>
  <c r="C37" i="2"/>
  <c r="C120" i="2" s="1"/>
  <c r="D99" i="2"/>
  <c r="C41" i="2"/>
  <c r="C124" i="2" s="1"/>
  <c r="C98" i="2"/>
  <c r="D98" i="2" s="1"/>
  <c r="C44" i="2"/>
  <c r="C127" i="2" s="1"/>
  <c r="C101" i="2"/>
  <c r="C43" i="2"/>
  <c r="C126" i="2" s="1"/>
  <c r="C100" i="2"/>
  <c r="C11" i="2"/>
  <c r="C102" i="2" s="1"/>
  <c r="C42" i="2"/>
  <c r="C125" i="2" s="1"/>
  <c r="C40" i="2"/>
  <c r="F39" i="2"/>
  <c r="F37" i="2"/>
  <c r="D40" i="2"/>
  <c r="G39" i="2"/>
  <c r="G37" i="2"/>
  <c r="B139" i="2"/>
  <c r="B152" i="2" s="1"/>
  <c r="H40" i="1"/>
  <c r="G120" i="2" s="1"/>
  <c r="H39" i="1"/>
  <c r="B137" i="2"/>
  <c r="B150" i="2" s="1"/>
  <c r="I40" i="1"/>
  <c r="H120" i="2" s="1"/>
  <c r="H42" i="1"/>
  <c r="H43" i="1" s="1"/>
  <c r="I39" i="1"/>
  <c r="I42" i="1"/>
  <c r="I43" i="1" s="1"/>
  <c r="D125" i="2" l="1"/>
  <c r="E125" i="2"/>
  <c r="E103" i="2"/>
  <c r="G125" i="2"/>
  <c r="G127" i="2"/>
  <c r="G126" i="2"/>
  <c r="D100" i="2"/>
  <c r="E126" i="2" s="1"/>
  <c r="D126" i="2"/>
  <c r="D101" i="2"/>
  <c r="E127" i="2" s="1"/>
  <c r="D127" i="2"/>
  <c r="D102" i="2"/>
  <c r="E128" i="2" s="1"/>
  <c r="D128" i="2"/>
  <c r="D103" i="2"/>
  <c r="E129" i="2" s="1"/>
  <c r="F103" i="2"/>
  <c r="H126" i="2"/>
  <c r="H127" i="2"/>
  <c r="H125" i="2"/>
  <c r="C103" i="2"/>
  <c r="D129" i="2" s="1"/>
  <c r="C45" i="2"/>
  <c r="C128" i="2" s="1"/>
  <c r="F38" i="2"/>
  <c r="H39" i="2"/>
  <c r="H37" i="2"/>
  <c r="G38" i="2"/>
  <c r="H122" i="2"/>
  <c r="F139" i="1"/>
  <c r="H139" i="1"/>
  <c r="E107" i="2" s="1"/>
  <c r="G139" i="1"/>
  <c r="D107" i="2" s="1"/>
  <c r="I139" i="1"/>
  <c r="H124" i="2"/>
  <c r="G124" i="2"/>
  <c r="E124" i="2"/>
  <c r="E122" i="2"/>
  <c r="G122" i="2"/>
  <c r="D122" i="2"/>
  <c r="D124" i="2"/>
  <c r="F124" i="2"/>
  <c r="F107" i="2" l="1"/>
  <c r="C107" i="2"/>
  <c r="E131" i="2"/>
  <c r="G131" i="2"/>
  <c r="E95" i="2"/>
  <c r="G121" i="2" s="1"/>
  <c r="H131" i="2" l="1"/>
  <c r="D131" i="2"/>
  <c r="F95" i="2"/>
  <c r="H121" i="2" s="1"/>
  <c r="F120" i="2"/>
  <c r="C140" i="1" l="1"/>
  <c r="C19" i="2" s="1"/>
  <c r="C39" i="2"/>
  <c r="C46" i="2"/>
  <c r="F123" i="2"/>
  <c r="E97" i="2"/>
  <c r="C95" i="2"/>
  <c r="D121" i="2" s="1"/>
  <c r="E19" i="2"/>
  <c r="D48" i="2" s="1"/>
  <c r="C97" i="2"/>
  <c r="C106" i="2" l="1"/>
  <c r="D120" i="2" s="1"/>
  <c r="C122" i="2"/>
  <c r="D123" i="2"/>
  <c r="D97" i="2"/>
  <c r="E123" i="2" s="1"/>
  <c r="C48" i="2"/>
  <c r="C131" i="2" s="1"/>
  <c r="L77" i="1"/>
  <c r="F97" i="2"/>
  <c r="H123" i="2" s="1"/>
  <c r="G123" i="2"/>
  <c r="H129" i="2"/>
  <c r="G129" i="2"/>
  <c r="D95" i="2"/>
  <c r="C123" i="2"/>
  <c r="F129" i="2"/>
  <c r="F131" i="2"/>
  <c r="C129" i="2"/>
  <c r="F122" i="2"/>
  <c r="D106" i="2" l="1"/>
  <c r="E120" i="2" s="1"/>
  <c r="E121" i="2"/>
  <c r="L78" i="1"/>
  <c r="F102" i="2"/>
  <c r="G128" i="2"/>
  <c r="L79" i="1" l="1"/>
  <c r="H128" i="2"/>
  <c r="L80" i="1" l="1"/>
  <c r="L81" i="1" l="1"/>
  <c r="L82" i="1" l="1"/>
  <c r="E104" i="2" l="1"/>
  <c r="F104" i="2"/>
  <c r="E13" i="2"/>
  <c r="E16" i="2" s="1"/>
  <c r="L83" i="1"/>
  <c r="L84" i="1" l="1"/>
  <c r="C104" i="2" l="1"/>
  <c r="C109" i="2" s="1"/>
  <c r="C113" i="2" s="1"/>
  <c r="L85" i="1"/>
  <c r="D104" i="2" s="1"/>
  <c r="D109" i="2" s="1"/>
  <c r="C13" i="2"/>
  <c r="F109" i="2" l="1"/>
  <c r="F113" i="2" s="1"/>
  <c r="C16" i="2"/>
  <c r="D5" i="2"/>
  <c r="D9" i="2"/>
  <c r="D10" i="2"/>
  <c r="D7" i="2"/>
  <c r="E109" i="2"/>
  <c r="D4" i="2"/>
  <c r="H130" i="2"/>
  <c r="H133" i="2" s="1"/>
  <c r="D150" i="2" s="1"/>
  <c r="J161" i="2" s="1"/>
  <c r="I161" i="2" s="1"/>
  <c r="C47" i="2"/>
  <c r="C130" i="2" s="1"/>
  <c r="C133" i="2" s="1"/>
  <c r="C151" i="2" s="1"/>
  <c r="D130" i="2"/>
  <c r="D133" i="2" s="1"/>
  <c r="L86" i="1"/>
  <c r="H38" i="2"/>
  <c r="D6" i="2"/>
  <c r="D11" i="2"/>
  <c r="D8" i="2"/>
  <c r="D12" i="2"/>
  <c r="D13" i="2"/>
  <c r="E130" i="2"/>
  <c r="E132" i="2" s="1"/>
  <c r="C137" i="2" s="1"/>
  <c r="F161" i="2" s="1"/>
  <c r="F110" i="2" l="1"/>
  <c r="E133" i="2"/>
  <c r="C150" i="2" s="1"/>
  <c r="C152" i="2"/>
  <c r="C132" i="2"/>
  <c r="D132" i="2"/>
  <c r="C139" i="2" s="1"/>
  <c r="F163" i="2" s="1"/>
  <c r="E163" i="2" s="1"/>
  <c r="H132" i="2"/>
  <c r="D137" i="2" s="1"/>
  <c r="H161" i="2" s="1"/>
  <c r="G161" i="2" s="1"/>
  <c r="F114" i="2"/>
  <c r="D110" i="2"/>
  <c r="D113" i="2"/>
  <c r="C110" i="2"/>
  <c r="F4" i="2"/>
  <c r="F7" i="2"/>
  <c r="F8" i="2"/>
  <c r="F13" i="2"/>
  <c r="F9" i="2"/>
  <c r="F12" i="2"/>
  <c r="F6" i="2"/>
  <c r="F10" i="2"/>
  <c r="F11" i="2"/>
  <c r="F5" i="2"/>
  <c r="E22" i="2"/>
  <c r="E23" i="2" s="1"/>
  <c r="C22" i="2"/>
  <c r="C23" i="2" s="1"/>
  <c r="G130" i="2"/>
  <c r="G133" i="2" s="1"/>
  <c r="D152" i="2" s="1"/>
  <c r="J163" i="2" s="1"/>
  <c r="I163" i="2" s="1"/>
  <c r="C17" i="2"/>
  <c r="C20" i="2"/>
  <c r="D47" i="2"/>
  <c r="L87" i="1"/>
  <c r="E161" i="2" l="1"/>
  <c r="G132" i="2"/>
  <c r="D139" i="2" s="1"/>
  <c r="H163" i="2" s="1"/>
  <c r="G163" i="2" s="1"/>
  <c r="C114" i="2"/>
  <c r="D114" i="2"/>
  <c r="C138" i="2"/>
  <c r="E110" i="2"/>
  <c r="E113" i="2"/>
  <c r="E17" i="2"/>
  <c r="C26" i="2"/>
  <c r="C27" i="2" s="1"/>
  <c r="E20" i="2"/>
  <c r="E26" i="2" s="1"/>
  <c r="C21" i="2"/>
  <c r="L88" i="1"/>
  <c r="F162" i="2" l="1"/>
  <c r="E162" i="2" s="1"/>
  <c r="E152" i="2"/>
  <c r="E150" i="2"/>
  <c r="E151" i="2"/>
  <c r="E114" i="2"/>
  <c r="E139" i="2"/>
  <c r="E138" i="2"/>
  <c r="E137" i="2"/>
  <c r="E21" i="2"/>
  <c r="L89" i="1"/>
  <c r="L90" i="1" l="1"/>
  <c r="F130" i="2"/>
  <c r="F133" i="2" s="1"/>
  <c r="D151" i="2" s="1"/>
  <c r="J162" i="2" s="1"/>
  <c r="I162" i="2" s="1"/>
  <c r="F132" i="2" l="1"/>
  <c r="D138" i="2" s="1"/>
  <c r="L91" i="1"/>
  <c r="F152" i="2" l="1"/>
  <c r="F151" i="2"/>
  <c r="F150" i="2"/>
  <c r="H162" i="2"/>
  <c r="G162" i="2" s="1"/>
  <c r="F138" i="2"/>
  <c r="F139" i="2"/>
  <c r="F137" i="2"/>
  <c r="L92" i="1"/>
  <c r="L93" i="1" l="1"/>
  <c r="L94" i="1" l="1"/>
  <c r="L95" i="1" l="1"/>
  <c r="L96" i="1" l="1"/>
  <c r="L97" i="1" l="1"/>
  <c r="L98" i="1" l="1"/>
  <c r="L99" i="1" l="1"/>
  <c r="L100" i="1" l="1"/>
  <c r="L101" i="1" l="1"/>
  <c r="L102" i="1" l="1"/>
  <c r="L103" i="1" l="1"/>
  <c r="L104" i="1" l="1"/>
  <c r="E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Marquez</author>
    <author>NATHALIA ORTIZ</author>
  </authors>
  <commentList>
    <comment ref="A61" authorId="0" shapeId="0" xr:uid="{12005937-5E6C-4B0A-97FE-AE38A169BDD8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Tarifa electromovilidad valle</t>
        </r>
      </text>
    </comment>
    <comment ref="F62" authorId="0" shapeId="0" xr:uid="{474BBD22-5580-4D0D-A6AD-32F651FC9703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En el aumento de la potencia contratada</t>
        </r>
      </text>
    </comment>
    <comment ref="A63" authorId="0" shapeId="0" xr:uid="{A147EE56-FE8E-47C5-8B3F-F73014C50164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 </t>
        </r>
      </text>
    </comment>
    <comment ref="A66" authorId="0" shapeId="0" xr:uid="{D354DF6F-FBCC-41BD-929B-135A1F79DE49}">
      <text>
        <r>
          <rPr>
            <b/>
            <sz val="9"/>
            <color indexed="81"/>
            <rFont val="Tahoma"/>
            <family val="2"/>
          </rPr>
          <t>Juan Marquez:</t>
        </r>
        <r>
          <rPr>
            <sz val="9"/>
            <color indexed="81"/>
            <rFont val="Tahoma"/>
            <family val="2"/>
          </rPr>
          <t xml:space="preserve">
Medianos consumidores - MC2</t>
        </r>
      </text>
    </comment>
    <comment ref="C74" authorId="1" shapeId="0" xr:uid="{132C6689-DF09-404F-A159-BC3015868DFA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Valle</t>
        </r>
      </text>
    </comment>
    <comment ref="D74" authorId="1" shapeId="0" xr:uid="{149519EA-D10C-4594-86C0-776173A8331C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'Llano'</t>
        </r>
      </text>
    </comment>
    <comment ref="E74" authorId="1" shapeId="0" xr:uid="{96BA21C2-DCD8-4992-A6B2-D41E5196A2F3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F74" authorId="1" shapeId="0" xr:uid="{54F1CD12-2DCD-49E3-A472-66F2EFA49AEF}">
      <text>
        <r>
          <rPr>
            <b/>
            <sz val="9"/>
            <color indexed="81"/>
            <rFont val="Tahoma"/>
            <family val="2"/>
          </rPr>
          <t>NATHALIA ORTIZ:</t>
        </r>
        <r>
          <rPr>
            <sz val="9"/>
            <color indexed="81"/>
            <rFont val="Tahoma"/>
            <family val="2"/>
          </rPr>
          <t xml:space="preserve">
Tarifa medianos consumidores MC2 </t>
        </r>
      </text>
    </comment>
    <comment ref="I74" authorId="1" shapeId="0" xr:uid="{36B6978F-F61A-4760-963F-64FDE562175C}">
      <text>
        <r>
          <rPr>
            <b/>
            <sz val="9"/>
            <color rgb="FF000000"/>
            <rFont val="Tahoma"/>
            <family val="2"/>
          </rPr>
          <t>NATHALIA ORTIZ: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Valle, tarifa de movilidad eléctrica</t>
        </r>
      </text>
    </comment>
    <comment ref="M74" authorId="1" shapeId="0" xr:uid="{59EFDA81-26C8-4221-AC08-450B9CE88B6B}">
      <text>
        <r>
          <rPr>
            <b/>
            <sz val="9"/>
            <color rgb="FF000000"/>
            <rFont val="Tahoma"/>
            <family val="2"/>
          </rPr>
          <t>NATHALIA ORTIZ: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Valle, tarifa de movilidad eléctrica</t>
        </r>
      </text>
    </comment>
    <comment ref="N74" authorId="1" shapeId="0" xr:uid="{5B5C6857-A01C-44A4-B987-6EAC5C140660}">
      <text>
        <r>
          <rPr>
            <b/>
            <sz val="9"/>
            <color rgb="FF000000"/>
            <rFont val="Tahoma"/>
            <family val="2"/>
          </rPr>
          <t>NATHALIA ORTIZ: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Valle, tarifa de movilidad eléctrica</t>
        </r>
      </text>
    </comment>
  </commentList>
</comments>
</file>

<file path=xl/sharedStrings.xml><?xml version="1.0" encoding="utf-8"?>
<sst xmlns="http://schemas.openxmlformats.org/spreadsheetml/2006/main" count="523" uniqueCount="221">
  <si>
    <t>CAPEX</t>
  </si>
  <si>
    <t>USD</t>
  </si>
  <si>
    <t>L/100km</t>
  </si>
  <si>
    <t>USD/km</t>
  </si>
  <si>
    <t>kWh/km</t>
  </si>
  <si>
    <t>%CAPEX</t>
  </si>
  <si>
    <t>USD/kWh</t>
  </si>
  <si>
    <t>kWh</t>
  </si>
  <si>
    <t>km</t>
  </si>
  <si>
    <t>%</t>
  </si>
  <si>
    <t>USD/L</t>
  </si>
  <si>
    <t>https://www.xe.com/currencyconverter/convert/?Amount=1&amp;From=UYU&amp;To=USD</t>
  </si>
  <si>
    <t>tCO2/MWh</t>
  </si>
  <si>
    <t>gCO2e/km</t>
  </si>
  <si>
    <t>USD/tCO2e</t>
  </si>
  <si>
    <t>1- CAPEX</t>
  </si>
  <si>
    <t>2- ADMIN</t>
  </si>
  <si>
    <t>3- O&amp;M</t>
  </si>
  <si>
    <t>tCO2e</t>
  </si>
  <si>
    <t>WTW EURO 5</t>
  </si>
  <si>
    <t>ICE</t>
  </si>
  <si>
    <t>TOTAL</t>
  </si>
  <si>
    <t>BEV</t>
  </si>
  <si>
    <t>KWh</t>
  </si>
  <si>
    <t>IMM 2019</t>
  </si>
  <si>
    <t>https://montevideo.gub.uy/sites/default/files/biblioteca/informefinalt.oneroso12032019_0.pdf</t>
  </si>
  <si>
    <t>BROU 2020</t>
  </si>
  <si>
    <t>https://www.brou.com.uy/documents/20182/49226/Tasas_20160905.pdf/3c2a1575-f48e-440d-bd97-f4a87fb1619e</t>
  </si>
  <si>
    <t>https://montevideo.gub.uy/noticias/movilidad-y-transporte/nueva-convocatoria-para-taxis-100-electricos#:~:text=Subsidio%20para%20el%20recambio%20de,Administraci%C3%B3n%20del%20Transporte%20(Ejido%201290)</t>
  </si>
  <si>
    <t>IM 2019</t>
  </si>
  <si>
    <t>USD/kW</t>
  </si>
  <si>
    <t>-</t>
  </si>
  <si>
    <t>Capital investment</t>
  </si>
  <si>
    <t>Loan</t>
  </si>
  <si>
    <t>Equity</t>
  </si>
  <si>
    <t>1 - Información del vehículo</t>
  </si>
  <si>
    <t>Parámetro</t>
  </si>
  <si>
    <t>Unidad</t>
  </si>
  <si>
    <t>Valor</t>
  </si>
  <si>
    <t>Fuente</t>
  </si>
  <si>
    <t>Vida útil</t>
  </si>
  <si>
    <t>años</t>
  </si>
  <si>
    <t>Eficiencia vehicular</t>
  </si>
  <si>
    <t>Costos de mantenimiento</t>
  </si>
  <si>
    <t>Tamaño de la batería</t>
  </si>
  <si>
    <t>Vida útil de la batería</t>
  </si>
  <si>
    <t>70% SOC</t>
  </si>
  <si>
    <t>Vida útil del cargador</t>
  </si>
  <si>
    <t>Proporción de carga rápida pública</t>
  </si>
  <si>
    <t>año</t>
  </si>
  <si>
    <t>Basado en GC</t>
  </si>
  <si>
    <t>7.4kW, incluye instalación de caja de pared</t>
  </si>
  <si>
    <t>Valor estándar</t>
  </si>
  <si>
    <t>2 - Datos de actividad</t>
  </si>
  <si>
    <t>Kilómetros por año</t>
  </si>
  <si>
    <t>km/año</t>
  </si>
  <si>
    <t>Total kilómetros ICE</t>
  </si>
  <si>
    <t>Total kilómetros BEV</t>
  </si>
  <si>
    <t>Días operativos por año</t>
  </si>
  <si>
    <t>días/año</t>
  </si>
  <si>
    <t>Recorrido diario</t>
  </si>
  <si>
    <t>Consumo de energía diario</t>
  </si>
  <si>
    <t>Calculado</t>
  </si>
  <si>
    <t>Proporción de la financiación de la deuda</t>
  </si>
  <si>
    <t>Tenencia del préstamo</t>
  </si>
  <si>
    <t>Tasa de interés ICE</t>
  </si>
  <si>
    <t>%/año</t>
  </si>
  <si>
    <t>Tasa de interés BEV</t>
  </si>
  <si>
    <t>Moneda local a USD</t>
  </si>
  <si>
    <t>Mon. local/USD</t>
  </si>
  <si>
    <t>4 - Costos de energía</t>
  </si>
  <si>
    <t>3 - Costos de financiamiento</t>
  </si>
  <si>
    <t>Electricidad - carga en casa</t>
  </si>
  <si>
    <t>Electricidad - cargador rápido público</t>
  </si>
  <si>
    <t>5 - Impuestos</t>
  </si>
  <si>
    <t>Tasa consular</t>
  </si>
  <si>
    <t>IVA</t>
  </si>
  <si>
    <t>USD/año</t>
  </si>
  <si>
    <t>FE red (tCO2/MWh)</t>
  </si>
  <si>
    <t>Costo de CO2e</t>
  </si>
  <si>
    <t>Emisiones totales ICE</t>
  </si>
  <si>
    <t>Emisiones totales BEV</t>
  </si>
  <si>
    <t>Costo Emisiones ICE</t>
  </si>
  <si>
    <t>Costo Emisiones BEV</t>
  </si>
  <si>
    <t>Año</t>
  </si>
  <si>
    <t>CAPEX vehículo</t>
  </si>
  <si>
    <t>CAPEX cargador</t>
  </si>
  <si>
    <t>Electricidad</t>
  </si>
  <si>
    <t>Sensibilidad</t>
  </si>
  <si>
    <t>CTP 2021</t>
  </si>
  <si>
    <t>Contribución</t>
  </si>
  <si>
    <t>CAPEX LCV</t>
  </si>
  <si>
    <t>Costos de financiamiento</t>
  </si>
  <si>
    <t>Costo Energía</t>
  </si>
  <si>
    <t>4 - Emisiones</t>
  </si>
  <si>
    <t>Costos económicos de las emisiones</t>
  </si>
  <si>
    <t>CTP financiero (USD)</t>
  </si>
  <si>
    <t>CTP financiero (USD/km)</t>
  </si>
  <si>
    <t>CTP (USD/km.pax)</t>
  </si>
  <si>
    <t>CTP económico (USD)</t>
  </si>
  <si>
    <t>CTP económico (USD/km)</t>
  </si>
  <si>
    <t>Subsidios (USD/bus)</t>
  </si>
  <si>
    <t>Reducción de impuestos (USD/bus)</t>
  </si>
  <si>
    <t>CTP 2021 (USD/km)</t>
  </si>
  <si>
    <t>Sensibilidad (+/- 20% de kilometraje anual)</t>
  </si>
  <si>
    <t>Fuentes</t>
  </si>
  <si>
    <t>Sensibilidad costos de emisión</t>
  </si>
  <si>
    <t>IMESI</t>
  </si>
  <si>
    <t>Renault Kangoo Maxi</t>
  </si>
  <si>
    <t>https://www.renault.com.au/vehicles/commercial/kangoo/kangoo/features-specifications</t>
  </si>
  <si>
    <t>[FCH JU, 2017]</t>
  </si>
  <si>
    <t>Gasolina</t>
  </si>
  <si>
    <t>Potencia</t>
  </si>
  <si>
    <t>Utilitario Gasolina</t>
  </si>
  <si>
    <t>Utilitario Eléctrico</t>
  </si>
  <si>
    <t>Patente año 1</t>
  </si>
  <si>
    <t>Patente año 2+</t>
  </si>
  <si>
    <t>Patente</t>
  </si>
  <si>
    <t>% BEV/ICEV</t>
  </si>
  <si>
    <t>CTP Utilitarios (LDV)</t>
  </si>
  <si>
    <t>[FCH JU, 2017]. Reducción del 40%</t>
  </si>
  <si>
    <t>Proporción de carga lenta</t>
  </si>
  <si>
    <t>TGA</t>
  </si>
  <si>
    <t>Carga Utilitario eléctrico</t>
  </si>
  <si>
    <t>Proyección CAPEX</t>
  </si>
  <si>
    <t>Reducción del costo de la batería 2020-2028</t>
  </si>
  <si>
    <t>Proyecciones del US DOE</t>
  </si>
  <si>
    <t>https://www.energy.gov/sites/prod/files/2017/02/f34/67089%20EERE%20LIB%20cost%20vs%20price%20metrics%20r9.pdf</t>
  </si>
  <si>
    <t>Reducción del costo de la batería 2020-2038</t>
  </si>
  <si>
    <t>Misma vida útil de la batería</t>
  </si>
  <si>
    <t>7 - Emisiones GEI</t>
  </si>
  <si>
    <t>6 - Beneficios COMAP</t>
  </si>
  <si>
    <t>% Recuperación de la inversión</t>
  </si>
  <si>
    <t>5 - Emisiones</t>
  </si>
  <si>
    <t>4 - Beneficios COMAP</t>
  </si>
  <si>
    <t>Monto recuperado de la inversión</t>
  </si>
  <si>
    <t>Utilitario ICE</t>
  </si>
  <si>
    <t>Utilitario eléctrico</t>
  </si>
  <si>
    <t>CAPEX LCV con COMAP</t>
  </si>
  <si>
    <t>BYD T3</t>
  </si>
  <si>
    <t>Basado en Esquemas fiscales para la movilidad en Uruguay</t>
  </si>
  <si>
    <t>CAPEX con COMAP</t>
  </si>
  <si>
    <t>ICE +50%</t>
  </si>
  <si>
    <t>ICE -50%</t>
  </si>
  <si>
    <t>BEV +50%</t>
  </si>
  <si>
    <t>BEV -50%</t>
  </si>
  <si>
    <t>Combustión</t>
  </si>
  <si>
    <t>Eléctrico</t>
  </si>
  <si>
    <t>CAPEX infraestructura de carga</t>
  </si>
  <si>
    <t>Mantenimiento del vehículo</t>
  </si>
  <si>
    <t>Factor de uso</t>
  </si>
  <si>
    <t>Días operativos</t>
  </si>
  <si>
    <t>5,3 L/100 km</t>
  </si>
  <si>
    <t>0,2 kWh/km</t>
  </si>
  <si>
    <t>Tipo de uso</t>
  </si>
  <si>
    <t>Kilometraje anual</t>
  </si>
  <si>
    <t>Bajo</t>
  </si>
  <si>
    <t>Medio</t>
  </si>
  <si>
    <t>Intensivo</t>
  </si>
  <si>
    <t>Con beneficios COMAP</t>
  </si>
  <si>
    <t>Sin beneficios COMAP</t>
  </si>
  <si>
    <t>CTP sin COMAP</t>
  </si>
  <si>
    <t>CTP con COMAP</t>
  </si>
  <si>
    <t>Con COMAP</t>
  </si>
  <si>
    <t>Sin COMAP</t>
  </si>
  <si>
    <t>CAPEX LCV sin COMAP</t>
  </si>
  <si>
    <t>CAPEX sin COMAP</t>
  </si>
  <si>
    <t>Utilitario a gasolina</t>
  </si>
  <si>
    <t>De acuerdo con la cilindrada</t>
  </si>
  <si>
    <t>Vida útil vehículo</t>
  </si>
  <si>
    <t>Vida útil batería</t>
  </si>
  <si>
    <t>https://www.byd.com.uy/vehiculos/t3/</t>
  </si>
  <si>
    <t>Potencia cargador</t>
  </si>
  <si>
    <t>kW</t>
  </si>
  <si>
    <t>Aumento costo electricidad</t>
  </si>
  <si>
    <t>Sin embargo, se pueden incorporar agregando una tasa de crecimiento para cada uno</t>
  </si>
  <si>
    <t>Aumento cargo por potencia</t>
  </si>
  <si>
    <t>CAPEX utilitario</t>
  </si>
  <si>
    <t>Vida útil utilitario</t>
  </si>
  <si>
    <t>Uso intensivo</t>
  </si>
  <si>
    <t>Uso bajo</t>
  </si>
  <si>
    <t>https://www.autoblog.com.uy/p/precios-0km.html</t>
  </si>
  <si>
    <t>(UYU/L)</t>
  </si>
  <si>
    <t>(USD/L)</t>
  </si>
  <si>
    <t>Precio nafta</t>
  </si>
  <si>
    <t>Valle</t>
  </si>
  <si>
    <t>Llano</t>
  </si>
  <si>
    <t>(UYU/kWh)</t>
  </si>
  <si>
    <t>(USD/kWh)</t>
  </si>
  <si>
    <t>Precio electricidad</t>
  </si>
  <si>
    <t>(UYU/kW)</t>
  </si>
  <si>
    <t>(USD/kW)</t>
  </si>
  <si>
    <t>Descuento del Plan de Movilidad Eléctrica (PME)</t>
  </si>
  <si>
    <t>Tarifa por potencia máxima medida</t>
  </si>
  <si>
    <t>Con descuento (PME)</t>
  </si>
  <si>
    <t>(UYU)</t>
  </si>
  <si>
    <t>(USD)</t>
  </si>
  <si>
    <t>Cargo fijo mensual</t>
  </si>
  <si>
    <t>Aumento costo nafta</t>
  </si>
  <si>
    <t>Aumento cargo fijo mensual</t>
  </si>
  <si>
    <t>Los cálculos se realizan sin considerar proyecciones de costo de los energéticos,</t>
  </si>
  <si>
    <t>los cargos por potencia y el cargo fijo mensual</t>
  </si>
  <si>
    <t>Nafta</t>
  </si>
  <si>
    <t>Gasolina Super</t>
  </si>
  <si>
    <t>Ancap 2022</t>
  </si>
  <si>
    <t>https://www.ute.com.uy/sites/default/files/docs/Pliego%20Tarifario%20Vigente%20desde%201%20de%20Enero%20de%202022.pdf</t>
  </si>
  <si>
    <t>Tasa de descuento</t>
  </si>
  <si>
    <t>VEHÍCULO A GASOLINA</t>
  </si>
  <si>
    <t>Costos (VP)</t>
  </si>
  <si>
    <t>Total</t>
  </si>
  <si>
    <t>Factor de descuento</t>
  </si>
  <si>
    <t>Costos descontados</t>
  </si>
  <si>
    <t>VEHÍCULO ELÉCTRICO</t>
  </si>
  <si>
    <t>Flujo de caja - Utilitarios</t>
  </si>
  <si>
    <t>INSTRUCCIONES PARA EL USO DE LA HERRAMIENTA</t>
  </si>
  <si>
    <r>
      <t xml:space="preserve">La pestaña </t>
    </r>
    <r>
      <rPr>
        <b/>
        <sz val="11"/>
        <color theme="1"/>
        <rFont val="Century Gothic"/>
        <family val="2"/>
      </rPr>
      <t>"Parametros"</t>
    </r>
    <r>
      <rPr>
        <sz val="11"/>
        <color theme="1"/>
        <rFont val="Century Gothic"/>
        <family val="2"/>
      </rPr>
      <t xml:space="preserve"> incluye toda la información en la que se basan los diferentes cálculos</t>
    </r>
  </si>
  <si>
    <t>Los valores indicados en amarillo claro son parámetros que el usuario debe ajustar para reflejar sus necesidades específicas</t>
  </si>
  <si>
    <t>Los valores indicados en amarillo oscuro son parámetros que el usuario puede cambiar si desea, pero que en general son valores estándar recomendados</t>
  </si>
  <si>
    <t>Los valores que se muestran en azul son cálculos intermedios que realiza la herramienta (no modificar las celdas)</t>
  </si>
  <si>
    <r>
      <t xml:space="preserve">La pestaña </t>
    </r>
    <r>
      <rPr>
        <b/>
        <sz val="11"/>
        <color theme="1"/>
        <rFont val="Century Gothic"/>
        <family val="2"/>
      </rPr>
      <t>"CTP"</t>
    </r>
    <r>
      <rPr>
        <sz val="11"/>
        <color theme="1"/>
        <rFont val="Century Gothic"/>
        <family val="2"/>
      </rPr>
      <t xml:space="preserve"> arroja los resultados de los análisis de Costo Total de Propiedad, bajo una tasa de descuento del 0% (no modificar)</t>
    </r>
  </si>
  <si>
    <r>
      <t xml:space="preserve">La pestaña </t>
    </r>
    <r>
      <rPr>
        <b/>
        <sz val="11"/>
        <color theme="1"/>
        <rFont val="Century Gothic"/>
        <family val="2"/>
      </rPr>
      <t>"CTP Valor Presente"</t>
    </r>
    <r>
      <rPr>
        <sz val="11"/>
        <color theme="1"/>
        <rFont val="Century Gothic"/>
        <family val="2"/>
      </rPr>
      <t xml:space="preserve"> muestra el flujo de caja del CTP y permite colocar una tasa de descuento para mostrar los resultados del CTP en valor presente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</si>
</sst>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00"/>
    <numFmt numFmtId="166" formatCode="0.0%"/>
    <numFmt numFmtId="167" formatCode="&quot;$&quot;#,##0"/>
    <numFmt numFmtId="168" formatCode="&quot;$&quot;#,##0.00"/>
    <numFmt numFmtId="169" formatCode="&quot;$&quot;#,##0.000"/>
    <numFmt numFmtId="170" formatCode="&quot;$&quot;\ #,##0"/>
    <numFmt numFmtId="171" formatCode="&quot;$&quot;\ #,##0.000"/>
    <numFmt numFmtId="172" formatCode="_-&quot;$&quot;\ * #,##0.000_-;\-&quot;$&quot;\ * #,##0.000_-;_-&quot;$&quot;\ * &quot;-&quot;??_-;_-@_-"/>
    <numFmt numFmtId="173" formatCode="0.0"/>
    <numFmt numFmtId="174" formatCode="_-&quot;$&quot;\ * #,##0.00_-;\-&quot;$&quot;\ * #,##0.00_-;_-&quot;$&quot;\ 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0"/>
      <color rgb="FF00B0F0"/>
      <name val="Century Gothic"/>
      <family val="2"/>
    </font>
    <font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0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7">
    <xf numFmtId="0" fontId="0" fillId="0" borderId="0" xfId="0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/>
    <xf numFmtId="1" fontId="4" fillId="5" borderId="0" xfId="1" applyNumberFormat="1" applyFont="1" applyFill="1" applyAlignment="1">
      <alignment horizontal="center" vertical="center"/>
    </xf>
    <xf numFmtId="1" fontId="4" fillId="6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9" fillId="0" borderId="0" xfId="0" applyNumberFormat="1" applyFont="1"/>
    <xf numFmtId="1" fontId="4" fillId="0" borderId="0" xfId="0" applyNumberFormat="1" applyFont="1" applyFill="1" applyAlignment="1">
      <alignment horizontal="center" vertical="center"/>
    </xf>
    <xf numFmtId="0" fontId="9" fillId="0" borderId="0" xfId="0" applyFont="1" applyBorder="1"/>
    <xf numFmtId="164" fontId="4" fillId="8" borderId="0" xfId="1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9" fontId="4" fillId="8" borderId="0" xfId="2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2" fontId="6" fillId="5" borderId="0" xfId="3" applyNumberFormat="1" applyFill="1" applyAlignment="1">
      <alignment horizontal="left" vertical="center" wrapText="1"/>
    </xf>
    <xf numFmtId="0" fontId="6" fillId="5" borderId="0" xfId="3" applyFill="1" applyAlignment="1">
      <alignment wrapText="1"/>
    </xf>
    <xf numFmtId="2" fontId="4" fillId="7" borderId="0" xfId="0" applyNumberFormat="1" applyFont="1" applyFill="1" applyAlignment="1">
      <alignment horizontal="center"/>
    </xf>
    <xf numFmtId="164" fontId="4" fillId="7" borderId="0" xfId="1" applyNumberFormat="1" applyFont="1" applyFill="1" applyAlignment="1">
      <alignment horizontal="center"/>
    </xf>
    <xf numFmtId="0" fontId="10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left" vertical="center" wrapText="1"/>
    </xf>
    <xf numFmtId="2" fontId="4" fillId="5" borderId="0" xfId="0" applyNumberFormat="1" applyFont="1" applyFill="1" applyAlignment="1">
      <alignment horizontal="center" vertical="center" wrapText="1"/>
    </xf>
    <xf numFmtId="0" fontId="10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0" fontId="4" fillId="0" borderId="0" xfId="0" applyFont="1" applyFill="1"/>
    <xf numFmtId="167" fontId="4" fillId="10" borderId="0" xfId="0" applyNumberFormat="1" applyFont="1" applyFill="1" applyBorder="1"/>
    <xf numFmtId="167" fontId="4" fillId="11" borderId="0" xfId="0" applyNumberFormat="1" applyFont="1" applyFill="1" applyBorder="1"/>
    <xf numFmtId="167" fontId="4" fillId="10" borderId="2" xfId="0" applyNumberFormat="1" applyFont="1" applyFill="1" applyBorder="1"/>
    <xf numFmtId="167" fontId="4" fillId="11" borderId="2" xfId="0" applyNumberFormat="1" applyFont="1" applyFill="1" applyBorder="1"/>
    <xf numFmtId="167" fontId="4" fillId="10" borderId="1" xfId="0" applyNumberFormat="1" applyFont="1" applyFill="1" applyBorder="1"/>
    <xf numFmtId="167" fontId="4" fillId="11" borderId="1" xfId="0" applyNumberFormat="1" applyFont="1" applyFill="1" applyBorder="1"/>
    <xf numFmtId="0" fontId="4" fillId="1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168" fontId="2" fillId="10" borderId="0" xfId="0" applyNumberFormat="1" applyFont="1" applyFill="1" applyBorder="1"/>
    <xf numFmtId="10" fontId="2" fillId="10" borderId="0" xfId="0" applyNumberFormat="1" applyFont="1" applyFill="1" applyBorder="1"/>
    <xf numFmtId="10" fontId="2" fillId="11" borderId="0" xfId="0" applyNumberFormat="1" applyFont="1" applyFill="1" applyBorder="1"/>
    <xf numFmtId="169" fontId="2" fillId="10" borderId="0" xfId="0" applyNumberFormat="1" applyFont="1" applyFill="1" applyBorder="1"/>
    <xf numFmtId="169" fontId="2" fillId="11" borderId="0" xfId="0" applyNumberFormat="1" applyFont="1" applyFill="1" applyBorder="1"/>
    <xf numFmtId="1" fontId="4" fillId="5" borderId="0" xfId="0" applyNumberFormat="1" applyFont="1" applyFill="1" applyAlignment="1">
      <alignment horizontal="center" vertical="center" wrapText="1"/>
    </xf>
    <xf numFmtId="164" fontId="4" fillId="5" borderId="0" xfId="1" applyNumberFormat="1" applyFont="1" applyFill="1" applyAlignment="1">
      <alignment horizontal="center" vertical="center" wrapText="1"/>
    </xf>
    <xf numFmtId="167" fontId="4" fillId="10" borderId="3" xfId="0" applyNumberFormat="1" applyFont="1" applyFill="1" applyBorder="1"/>
    <xf numFmtId="167" fontId="4" fillId="11" borderId="3" xfId="0" applyNumberFormat="1" applyFont="1" applyFill="1" applyBorder="1"/>
    <xf numFmtId="166" fontId="4" fillId="10" borderId="0" xfId="0" applyNumberFormat="1" applyFont="1" applyFill="1" applyBorder="1" applyAlignment="1">
      <alignment horizontal="center"/>
    </xf>
    <xf numFmtId="166" fontId="4" fillId="10" borderId="2" xfId="0" applyNumberFormat="1" applyFont="1" applyFill="1" applyBorder="1" applyAlignment="1">
      <alignment horizontal="center"/>
    </xf>
    <xf numFmtId="166" fontId="4" fillId="10" borderId="1" xfId="0" applyNumberFormat="1" applyFont="1" applyFill="1" applyBorder="1" applyAlignment="1">
      <alignment horizontal="center"/>
    </xf>
    <xf numFmtId="167" fontId="2" fillId="11" borderId="0" xfId="0" applyNumberFormat="1" applyFont="1" applyFill="1" applyBorder="1"/>
    <xf numFmtId="0" fontId="4" fillId="5" borderId="0" xfId="0" applyFont="1" applyFill="1" applyAlignment="1">
      <alignment horizontal="center" vertical="center" wrapText="1"/>
    </xf>
    <xf numFmtId="169" fontId="4" fillId="10" borderId="3" xfId="0" applyNumberFormat="1" applyFont="1" applyFill="1" applyBorder="1"/>
    <xf numFmtId="169" fontId="4" fillId="10" borderId="0" xfId="0" applyNumberFormat="1" applyFont="1" applyFill="1" applyBorder="1"/>
    <xf numFmtId="169" fontId="4" fillId="10" borderId="2" xfId="0" applyNumberFormat="1" applyFont="1" applyFill="1" applyBorder="1"/>
    <xf numFmtId="169" fontId="4" fillId="10" borderId="1" xfId="0" applyNumberFormat="1" applyFont="1" applyFill="1" applyBorder="1"/>
    <xf numFmtId="169" fontId="4" fillId="10" borderId="4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/>
    <xf numFmtId="0" fontId="7" fillId="12" borderId="0" xfId="0" applyFont="1" applyFill="1" applyAlignment="1">
      <alignment horizontal="center" vertical="center"/>
    </xf>
    <xf numFmtId="10" fontId="2" fillId="0" borderId="0" xfId="0" applyNumberFormat="1" applyFont="1" applyFill="1" applyBorder="1"/>
    <xf numFmtId="169" fontId="2" fillId="0" borderId="0" xfId="0" applyNumberFormat="1" applyFont="1" applyFill="1" applyBorder="1"/>
    <xf numFmtId="167" fontId="4" fillId="0" borderId="0" xfId="0" applyNumberFormat="1" applyFont="1"/>
    <xf numFmtId="9" fontId="9" fillId="0" borderId="0" xfId="0" applyNumberFormat="1" applyFont="1" applyAlignment="1"/>
    <xf numFmtId="0" fontId="9" fillId="0" borderId="0" xfId="0" applyFont="1" applyAlignment="1"/>
    <xf numFmtId="0" fontId="4" fillId="9" borderId="0" xfId="0" applyFont="1" applyFill="1"/>
    <xf numFmtId="0" fontId="7" fillId="9" borderId="0" xfId="0" applyFont="1" applyFill="1"/>
    <xf numFmtId="10" fontId="4" fillId="11" borderId="6" xfId="0" applyNumberFormat="1" applyFont="1" applyFill="1" applyBorder="1"/>
    <xf numFmtId="0" fontId="14" fillId="0" borderId="0" xfId="0" applyFont="1" applyFill="1" applyBorder="1" applyAlignment="1">
      <alignment horizontal="right"/>
    </xf>
    <xf numFmtId="167" fontId="15" fillId="0" borderId="0" xfId="0" applyNumberFormat="1" applyFont="1"/>
    <xf numFmtId="0" fontId="10" fillId="2" borderId="9" xfId="0" applyFont="1" applyFill="1" applyBorder="1" applyAlignment="1">
      <alignment horizontal="center" vertical="center"/>
    </xf>
    <xf numFmtId="0" fontId="10" fillId="4" borderId="10" xfId="0" applyFont="1" applyFill="1" applyBorder="1"/>
    <xf numFmtId="167" fontId="4" fillId="10" borderId="10" xfId="0" applyNumberFormat="1" applyFont="1" applyFill="1" applyBorder="1"/>
    <xf numFmtId="10" fontId="4" fillId="10" borderId="10" xfId="0" applyNumberFormat="1" applyFont="1" applyFill="1" applyBorder="1"/>
    <xf numFmtId="167" fontId="4" fillId="11" borderId="10" xfId="0" applyNumberFormat="1" applyFont="1" applyFill="1" applyBorder="1"/>
    <xf numFmtId="10" fontId="4" fillId="11" borderId="11" xfId="0" applyNumberFormat="1" applyFont="1" applyFill="1" applyBorder="1"/>
    <xf numFmtId="0" fontId="10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0" fontId="4" fillId="11" borderId="1" xfId="1" applyNumberFormat="1" applyFont="1" applyFill="1" applyBorder="1"/>
    <xf numFmtId="170" fontId="4" fillId="11" borderId="0" xfId="1" applyNumberFormat="1" applyFont="1" applyFill="1" applyBorder="1"/>
    <xf numFmtId="170" fontId="4" fillId="11" borderId="2" xfId="1" applyNumberFormat="1" applyFont="1" applyFill="1" applyBorder="1"/>
    <xf numFmtId="169" fontId="4" fillId="11" borderId="3" xfId="0" applyNumberFormat="1" applyFont="1" applyFill="1" applyBorder="1"/>
    <xf numFmtId="169" fontId="4" fillId="11" borderId="0" xfId="0" applyNumberFormat="1" applyFont="1" applyFill="1" applyBorder="1"/>
    <xf numFmtId="169" fontId="4" fillId="11" borderId="2" xfId="0" applyNumberFormat="1" applyFont="1" applyFill="1" applyBorder="1"/>
    <xf numFmtId="169" fontId="4" fillId="11" borderId="1" xfId="0" applyNumberFormat="1" applyFont="1" applyFill="1" applyBorder="1"/>
    <xf numFmtId="169" fontId="4" fillId="11" borderId="4" xfId="0" applyNumberFormat="1" applyFont="1" applyFill="1" applyBorder="1"/>
    <xf numFmtId="0" fontId="4" fillId="0" borderId="0" xfId="0" applyFont="1" applyAlignment="1">
      <alignment horizontal="right"/>
    </xf>
    <xf numFmtId="169" fontId="4" fillId="0" borderId="0" xfId="0" applyNumberFormat="1" applyFont="1"/>
    <xf numFmtId="1" fontId="4" fillId="0" borderId="0" xfId="2" applyNumberFormat="1" applyFont="1" applyAlignment="1">
      <alignment horizontal="right"/>
    </xf>
    <xf numFmtId="9" fontId="4" fillId="0" borderId="0" xfId="2" applyFont="1"/>
    <xf numFmtId="167" fontId="4" fillId="15" borderId="0" xfId="0" applyNumberFormat="1" applyFont="1" applyFill="1" applyBorder="1"/>
    <xf numFmtId="170" fontId="4" fillId="15" borderId="0" xfId="1" applyNumberFormat="1" applyFont="1" applyFill="1" applyBorder="1"/>
    <xf numFmtId="4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center" vertical="center" wrapText="1"/>
    </xf>
    <xf numFmtId="167" fontId="4" fillId="15" borderId="2" xfId="0" applyNumberFormat="1" applyFont="1" applyFill="1" applyBorder="1"/>
    <xf numFmtId="0" fontId="6" fillId="0" borderId="0" xfId="3"/>
    <xf numFmtId="170" fontId="2" fillId="11" borderId="0" xfId="1" applyNumberFormat="1" applyFont="1" applyFill="1" applyBorder="1"/>
    <xf numFmtId="168" fontId="2" fillId="10" borderId="0" xfId="0" applyNumberFormat="1" applyFont="1" applyFill="1"/>
    <xf numFmtId="10" fontId="17" fillId="10" borderId="0" xfId="0" applyNumberFormat="1" applyFont="1" applyFill="1"/>
    <xf numFmtId="10" fontId="17" fillId="11" borderId="0" xfId="0" applyNumberFormat="1" applyFont="1" applyFill="1"/>
    <xf numFmtId="164" fontId="4" fillId="5" borderId="0" xfId="1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167" fontId="4" fillId="0" borderId="0" xfId="1" applyNumberFormat="1" applyFont="1"/>
    <xf numFmtId="169" fontId="2" fillId="17" borderId="0" xfId="0" applyNumberFormat="1" applyFont="1" applyFill="1" applyBorder="1"/>
    <xf numFmtId="1" fontId="4" fillId="11" borderId="0" xfId="2" applyNumberFormat="1" applyFont="1" applyFill="1" applyAlignment="1">
      <alignment horizontal="right"/>
    </xf>
    <xf numFmtId="171" fontId="2" fillId="18" borderId="0" xfId="1" applyNumberFormat="1" applyFont="1" applyFill="1" applyBorder="1"/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10" fillId="4" borderId="0" xfId="0" applyFont="1" applyFill="1"/>
    <xf numFmtId="0" fontId="15" fillId="0" borderId="0" xfId="0" applyFont="1"/>
    <xf numFmtId="1" fontId="4" fillId="8" borderId="0" xfId="2" applyNumberFormat="1" applyFont="1" applyFill="1" applyAlignment="1">
      <alignment horizontal="center" vertical="center"/>
    </xf>
    <xf numFmtId="10" fontId="4" fillId="8" borderId="0" xfId="0" applyNumberFormat="1" applyFont="1" applyFill="1" applyAlignment="1">
      <alignment horizontal="center" vertical="center"/>
    </xf>
    <xf numFmtId="166" fontId="4" fillId="8" borderId="0" xfId="0" applyNumberFormat="1" applyFont="1" applyFill="1" applyAlignment="1">
      <alignment horizontal="center" vertical="center"/>
    </xf>
    <xf numFmtId="171" fontId="2" fillId="16" borderId="0" xfId="0" applyNumberFormat="1" applyFont="1" applyFill="1" applyBorder="1"/>
    <xf numFmtId="0" fontId="7" fillId="9" borderId="0" xfId="0" applyFont="1" applyFill="1" applyAlignment="1">
      <alignment horizontal="center"/>
    </xf>
    <xf numFmtId="0" fontId="10" fillId="4" borderId="0" xfId="0" applyFont="1" applyFill="1" applyBorder="1"/>
    <xf numFmtId="167" fontId="2" fillId="10" borderId="0" xfId="0" applyNumberFormat="1" applyFont="1" applyFill="1" applyBorder="1"/>
    <xf numFmtId="0" fontId="7" fillId="9" borderId="0" xfId="0" applyFont="1" applyFill="1" applyAlignment="1">
      <alignment horizontal="center"/>
    </xf>
    <xf numFmtId="10" fontId="4" fillId="11" borderId="0" xfId="0" applyNumberFormat="1" applyFont="1" applyFill="1" applyBorder="1"/>
    <xf numFmtId="0" fontId="6" fillId="5" borderId="0" xfId="3" applyFill="1" applyAlignment="1">
      <alignment horizontal="left" vertical="center"/>
    </xf>
    <xf numFmtId="172" fontId="4" fillId="5" borderId="0" xfId="2" applyNumberFormat="1" applyFont="1" applyFill="1" applyBorder="1" applyAlignment="1">
      <alignment horizontal="center" vertical="center"/>
    </xf>
    <xf numFmtId="170" fontId="4" fillId="0" borderId="0" xfId="0" applyNumberFormat="1" applyFont="1"/>
    <xf numFmtId="0" fontId="20" fillId="12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170" fontId="2" fillId="19" borderId="12" xfId="0" applyNumberFormat="1" applyFont="1" applyFill="1" applyBorder="1" applyAlignment="1">
      <alignment horizontal="center" vertical="center"/>
    </xf>
    <xf numFmtId="171" fontId="2" fillId="19" borderId="12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1" fontId="2" fillId="20" borderId="12" xfId="0" applyNumberFormat="1" applyFont="1" applyFill="1" applyBorder="1" applyAlignment="1">
      <alignment horizontal="center" vertical="center"/>
    </xf>
    <xf numFmtId="170" fontId="2" fillId="20" borderId="12" xfId="0" applyNumberFormat="1" applyFont="1" applyFill="1" applyBorder="1" applyAlignment="1">
      <alignment horizontal="center" vertical="center"/>
    </xf>
    <xf numFmtId="171" fontId="2" fillId="20" borderId="12" xfId="0" applyNumberFormat="1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170" fontId="2" fillId="21" borderId="12" xfId="0" applyNumberFormat="1" applyFont="1" applyFill="1" applyBorder="1" applyAlignment="1">
      <alignment horizontal="center" vertical="center"/>
    </xf>
    <xf numFmtId="171" fontId="2" fillId="21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0" fontId="14" fillId="0" borderId="14" xfId="0" applyFont="1" applyBorder="1"/>
    <xf numFmtId="166" fontId="4" fillId="8" borderId="3" xfId="2" applyNumberFormat="1" applyFont="1" applyFill="1" applyBorder="1" applyAlignment="1">
      <alignment horizontal="center" vertical="center"/>
    </xf>
    <xf numFmtId="2" fontId="9" fillId="0" borderId="3" xfId="0" applyNumberFormat="1" applyFont="1" applyBorder="1"/>
    <xf numFmtId="0" fontId="9" fillId="0" borderId="3" xfId="0" applyFont="1" applyBorder="1"/>
    <xf numFmtId="0" fontId="9" fillId="0" borderId="15" xfId="0" applyFont="1" applyBorder="1"/>
    <xf numFmtId="0" fontId="14" fillId="0" borderId="16" xfId="0" applyFont="1" applyBorder="1"/>
    <xf numFmtId="166" fontId="4" fillId="8" borderId="0" xfId="2" applyNumberFormat="1" applyFont="1" applyFill="1" applyBorder="1" applyAlignment="1">
      <alignment horizontal="center" vertical="center"/>
    </xf>
    <xf numFmtId="0" fontId="9" fillId="0" borderId="17" xfId="0" applyFont="1" applyBorder="1"/>
    <xf numFmtId="0" fontId="14" fillId="0" borderId="18" xfId="0" applyFont="1" applyBorder="1"/>
    <xf numFmtId="166" fontId="4" fillId="8" borderId="4" xfId="2" applyNumberFormat="1" applyFont="1" applyFill="1" applyBorder="1" applyAlignment="1">
      <alignment horizontal="center" vertical="center"/>
    </xf>
    <xf numFmtId="2" fontId="9" fillId="0" borderId="4" xfId="0" applyNumberFormat="1" applyFont="1" applyBorder="1"/>
    <xf numFmtId="0" fontId="9" fillId="0" borderId="4" xfId="0" applyFont="1" applyBorder="1"/>
    <xf numFmtId="0" fontId="9" fillId="0" borderId="19" xfId="0" applyFont="1" applyBorder="1"/>
    <xf numFmtId="2" fontId="9" fillId="0" borderId="0" xfId="0" applyNumberFormat="1" applyFont="1" applyBorder="1"/>
    <xf numFmtId="173" fontId="4" fillId="15" borderId="0" xfId="0" applyNumberFormat="1" applyFont="1" applyFill="1" applyAlignment="1">
      <alignment horizontal="center" vertical="center"/>
    </xf>
    <xf numFmtId="172" fontId="4" fillId="15" borderId="0" xfId="1" applyNumberFormat="1" applyFont="1" applyFill="1" applyAlignment="1">
      <alignment horizontal="center" vertical="center"/>
    </xf>
    <xf numFmtId="44" fontId="4" fillId="8" borderId="0" xfId="1" applyFont="1" applyFill="1" applyAlignment="1">
      <alignment horizontal="center" vertical="center"/>
    </xf>
    <xf numFmtId="1" fontId="4" fillId="15" borderId="0" xfId="1" applyNumberFormat="1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44" fontId="4" fillId="15" borderId="0" xfId="1" applyFont="1" applyFill="1" applyAlignment="1">
      <alignment horizontal="center" vertical="center"/>
    </xf>
    <xf numFmtId="173" fontId="4" fillId="15" borderId="0" xfId="1" applyNumberFormat="1" applyFont="1" applyFill="1" applyAlignment="1">
      <alignment horizontal="center" vertical="center"/>
    </xf>
    <xf numFmtId="9" fontId="4" fillId="15" borderId="0" xfId="1" applyNumberFormat="1" applyFont="1" applyFill="1" applyAlignment="1">
      <alignment horizontal="center" vertical="center"/>
    </xf>
    <xf numFmtId="1" fontId="4" fillId="8" borderId="0" xfId="0" applyNumberFormat="1" applyFont="1" applyFill="1" applyAlignment="1">
      <alignment horizontal="center" vertical="center"/>
    </xf>
    <xf numFmtId="41" fontId="4" fillId="6" borderId="0" xfId="4" applyFont="1" applyFill="1" applyAlignment="1">
      <alignment horizontal="center" vertical="center"/>
    </xf>
    <xf numFmtId="2" fontId="4" fillId="15" borderId="0" xfId="0" applyNumberFormat="1" applyFont="1" applyFill="1" applyAlignment="1">
      <alignment horizontal="center" vertical="center"/>
    </xf>
    <xf numFmtId="0" fontId="9" fillId="0" borderId="14" xfId="0" applyFont="1" applyBorder="1"/>
    <xf numFmtId="0" fontId="9" fillId="0" borderId="3" xfId="0" applyFont="1" applyBorder="1" applyAlignment="1">
      <alignment horizontal="center"/>
    </xf>
    <xf numFmtId="174" fontId="9" fillId="8" borderId="0" xfId="5" applyNumberFormat="1" applyFont="1" applyFill="1" applyBorder="1"/>
    <xf numFmtId="174" fontId="9" fillId="0" borderId="0" xfId="5" applyNumberFormat="1" applyFont="1" applyBorder="1"/>
    <xf numFmtId="0" fontId="9" fillId="0" borderId="0" xfId="0" applyFont="1" applyAlignment="1">
      <alignment horizontal="center"/>
    </xf>
    <xf numFmtId="174" fontId="4" fillId="8" borderId="0" xfId="5" applyNumberFormat="1" applyFont="1" applyFill="1" applyBorder="1" applyAlignment="1">
      <alignment horizontal="center" vertical="center"/>
    </xf>
    <xf numFmtId="0" fontId="14" fillId="0" borderId="0" xfId="0" applyFont="1"/>
    <xf numFmtId="9" fontId="9" fillId="8" borderId="0" xfId="0" applyNumberFormat="1" applyFont="1" applyFill="1"/>
    <xf numFmtId="174" fontId="4" fillId="8" borderId="4" xfId="5" applyNumberFormat="1" applyFont="1" applyFill="1" applyBorder="1" applyAlignment="1">
      <alignment horizontal="center" vertical="center"/>
    </xf>
    <xf numFmtId="174" fontId="9" fillId="0" borderId="4" xfId="5" applyNumberFormat="1" applyFont="1" applyBorder="1"/>
    <xf numFmtId="2" fontId="5" fillId="22" borderId="0" xfId="0" quotePrefix="1" applyNumberFormat="1" applyFont="1" applyFill="1" applyAlignment="1">
      <alignment horizontal="left" vertical="center" wrapText="1"/>
    </xf>
    <xf numFmtId="0" fontId="23" fillId="12" borderId="0" xfId="0" applyFont="1" applyFill="1"/>
    <xf numFmtId="0" fontId="23" fillId="12" borderId="7" xfId="0" applyFont="1" applyFill="1" applyBorder="1"/>
    <xf numFmtId="0" fontId="21" fillId="12" borderId="0" xfId="0" applyFont="1" applyFill="1"/>
    <xf numFmtId="0" fontId="25" fillId="0" borderId="0" xfId="0" applyFont="1"/>
    <xf numFmtId="0" fontId="26" fillId="0" borderId="0" xfId="0" applyFont="1"/>
    <xf numFmtId="166" fontId="0" fillId="10" borderId="12" xfId="2" applyNumberFormat="1" applyFont="1" applyFill="1" applyBorder="1"/>
    <xf numFmtId="0" fontId="22" fillId="0" borderId="0" xfId="0" applyFont="1"/>
    <xf numFmtId="1" fontId="0" fillId="24" borderId="0" xfId="0" applyNumberFormat="1" applyFill="1"/>
    <xf numFmtId="3" fontId="0" fillId="0" borderId="0" xfId="0" applyNumberFormat="1"/>
    <xf numFmtId="1" fontId="21" fillId="3" borderId="0" xfId="0" applyNumberFormat="1" applyFont="1" applyFill="1"/>
    <xf numFmtId="0" fontId="21" fillId="3" borderId="0" xfId="0" applyFont="1" applyFill="1"/>
    <xf numFmtId="166" fontId="29" fillId="0" borderId="0" xfId="2" applyNumberFormat="1" applyFont="1"/>
    <xf numFmtId="42" fontId="0" fillId="25" borderId="5" xfId="5" applyFont="1" applyFill="1" applyBorder="1"/>
    <xf numFmtId="42" fontId="0" fillId="25" borderId="1" xfId="5" applyFont="1" applyFill="1" applyBorder="1"/>
    <xf numFmtId="42" fontId="0" fillId="25" borderId="6" xfId="5" applyFont="1" applyFill="1" applyBorder="1"/>
    <xf numFmtId="42" fontId="0" fillId="25" borderId="20" xfId="5" applyFont="1" applyFill="1" applyBorder="1"/>
    <xf numFmtId="42" fontId="0" fillId="25" borderId="7" xfId="5" applyFont="1" applyFill="1" applyBorder="1"/>
    <xf numFmtId="42" fontId="0" fillId="25" borderId="0" xfId="5" applyFont="1" applyFill="1" applyBorder="1"/>
    <xf numFmtId="42" fontId="0" fillId="25" borderId="21" xfId="5" applyFont="1" applyFill="1" applyBorder="1"/>
    <xf numFmtId="42" fontId="0" fillId="25" borderId="22" xfId="5" applyFont="1" applyFill="1" applyBorder="1"/>
    <xf numFmtId="42" fontId="0" fillId="25" borderId="8" xfId="5" applyFont="1" applyFill="1" applyBorder="1"/>
    <xf numFmtId="42" fontId="0" fillId="25" borderId="2" xfId="5" applyFont="1" applyFill="1" applyBorder="1"/>
    <xf numFmtId="42" fontId="0" fillId="25" borderId="13" xfId="5" applyFont="1" applyFill="1" applyBorder="1"/>
    <xf numFmtId="42" fontId="0" fillId="25" borderId="23" xfId="5" applyFont="1" applyFill="1" applyBorder="1"/>
    <xf numFmtId="6" fontId="0" fillId="25" borderId="8" xfId="5" applyNumberFormat="1" applyFont="1" applyFill="1" applyBorder="1"/>
    <xf numFmtId="6" fontId="0" fillId="25" borderId="2" xfId="5" applyNumberFormat="1" applyFont="1" applyFill="1" applyBorder="1"/>
    <xf numFmtId="42" fontId="23" fillId="3" borderId="0" xfId="5" applyFont="1" applyFill="1" applyBorder="1"/>
    <xf numFmtId="42" fontId="23" fillId="3" borderId="0" xfId="5" applyFont="1" applyFill="1"/>
    <xf numFmtId="0" fontId="29" fillId="0" borderId="0" xfId="2" applyNumberFormat="1" applyFont="1"/>
    <xf numFmtId="1" fontId="30" fillId="0" borderId="0" xfId="0" applyNumberFormat="1" applyFont="1"/>
    <xf numFmtId="2" fontId="0" fillId="10" borderId="0" xfId="0" applyNumberFormat="1" applyFill="1"/>
    <xf numFmtId="166" fontId="31" fillId="0" borderId="0" xfId="2" applyNumberFormat="1" applyFont="1"/>
    <xf numFmtId="42" fontId="0" fillId="11" borderId="5" xfId="5" applyFont="1" applyFill="1" applyBorder="1"/>
    <xf numFmtId="42" fontId="0" fillId="11" borderId="1" xfId="5" applyFont="1" applyFill="1" applyBorder="1"/>
    <xf numFmtId="42" fontId="0" fillId="11" borderId="6" xfId="5" applyFont="1" applyFill="1" applyBorder="1"/>
    <xf numFmtId="42" fontId="0" fillId="11" borderId="20" xfId="5" applyFont="1" applyFill="1" applyBorder="1"/>
    <xf numFmtId="42" fontId="0" fillId="11" borderId="8" xfId="5" applyFont="1" applyFill="1" applyBorder="1"/>
    <xf numFmtId="42" fontId="0" fillId="11" borderId="2" xfId="5" applyFont="1" applyFill="1" applyBorder="1"/>
    <xf numFmtId="42" fontId="0" fillId="11" borderId="13" xfId="5" applyFont="1" applyFill="1" applyBorder="1"/>
    <xf numFmtId="42" fontId="0" fillId="11" borderId="22" xfId="5" applyFont="1" applyFill="1" applyBorder="1"/>
    <xf numFmtId="42" fontId="0" fillId="11" borderId="7" xfId="5" applyFont="1" applyFill="1" applyBorder="1"/>
    <xf numFmtId="42" fontId="0" fillId="11" borderId="0" xfId="5" applyFont="1" applyFill="1" applyBorder="1"/>
    <xf numFmtId="42" fontId="0" fillId="11" borderId="21" xfId="5" applyFont="1" applyFill="1" applyBorder="1"/>
    <xf numFmtId="42" fontId="0" fillId="11" borderId="23" xfId="5" applyFont="1" applyFill="1" applyBorder="1"/>
    <xf numFmtId="42" fontId="0" fillId="11" borderId="9" xfId="5" applyFont="1" applyFill="1" applyBorder="1"/>
    <xf numFmtId="42" fontId="0" fillId="11" borderId="10" xfId="5" applyFont="1" applyFill="1" applyBorder="1"/>
    <xf numFmtId="42" fontId="0" fillId="11" borderId="11" xfId="5" applyFont="1" applyFill="1" applyBorder="1"/>
    <xf numFmtId="42" fontId="23" fillId="26" borderId="0" xfId="5" applyFont="1" applyFill="1" applyBorder="1"/>
    <xf numFmtId="42" fontId="23" fillId="26" borderId="0" xfId="5" applyFont="1" applyFill="1"/>
    <xf numFmtId="42" fontId="0" fillId="25" borderId="12" xfId="5" applyFont="1" applyFill="1" applyBorder="1"/>
    <xf numFmtId="42" fontId="0" fillId="11" borderId="12" xfId="5" applyFont="1" applyFill="1" applyBorder="1"/>
    <xf numFmtId="0" fontId="7" fillId="1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0" fontId="4" fillId="5" borderId="0" xfId="1" applyNumberFormat="1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0" fillId="12" borderId="9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/>
    </xf>
    <xf numFmtId="0" fontId="20" fillId="12" borderId="13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1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1" fillId="27" borderId="0" xfId="0" applyFont="1" applyFill="1" applyAlignment="1">
      <alignment horizontal="center"/>
    </xf>
    <xf numFmtId="0" fontId="24" fillId="12" borderId="0" xfId="0" applyFont="1" applyFill="1" applyAlignment="1">
      <alignment horizontal="center"/>
    </xf>
    <xf numFmtId="0" fontId="27" fillId="0" borderId="12" xfId="0" applyFont="1" applyBorder="1" applyAlignment="1">
      <alignment horizontal="center"/>
    </xf>
    <xf numFmtId="0" fontId="21" fillId="23" borderId="0" xfId="0" applyFont="1" applyFill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2" fillId="0" borderId="0" xfId="0" applyFont="1"/>
    <xf numFmtId="0" fontId="2" fillId="0" borderId="16" xfId="0" applyFont="1" applyBorder="1"/>
    <xf numFmtId="0" fontId="2" fillId="0" borderId="17" xfId="0" applyFont="1" applyBorder="1"/>
    <xf numFmtId="0" fontId="2" fillId="8" borderId="16" xfId="0" applyFont="1" applyFill="1" applyBorder="1"/>
    <xf numFmtId="0" fontId="2" fillId="28" borderId="16" xfId="0" applyFont="1" applyFill="1" applyBorder="1"/>
    <xf numFmtId="0" fontId="2" fillId="29" borderId="16" xfId="0" applyFont="1" applyFill="1" applyBorder="1"/>
    <xf numFmtId="0" fontId="2" fillId="0" borderId="18" xfId="0" applyFont="1" applyBorder="1"/>
    <xf numFmtId="0" fontId="2" fillId="0" borderId="4" xfId="0" applyFont="1" applyBorder="1"/>
    <xf numFmtId="0" fontId="2" fillId="0" borderId="19" xfId="0" applyFont="1" applyBorder="1"/>
  </cellXfs>
  <cellStyles count="6">
    <cellStyle name="Hipervínculo" xfId="3" builtinId="8"/>
    <cellStyle name="Millares [0]" xfId="4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B4DE86"/>
      <color rgb="FFFF5B5B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28080417740548"/>
          <c:y val="4.4722933901296454E-2"/>
          <c:w val="0.55221708876986608"/>
          <c:h val="0.86157595679706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CTP!$B$15</c:f>
              <c:strCache>
                <c:ptCount val="1"/>
                <c:pt idx="0">
                  <c:v>CAPEX con COMAP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(CTP!$C$15,CTP!$E$15)</c:f>
              <c:numCache>
                <c:formatCode>"$"#,##0</c:formatCode>
                <c:ptCount val="2"/>
                <c:pt idx="0">
                  <c:v>19000</c:v>
                </c:pt>
                <c:pt idx="1">
                  <c:v>20409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CTP!$B$5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(CTP!$C$5,CTP!$E$5)</c:f>
              <c:numCache>
                <c:formatCode>"$"#,##0</c:formatCod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CTP!$B$6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BF-404E-8786-59ABDA577404}"/>
              </c:ext>
            </c:extLst>
          </c:dPt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(CTP!$C$6,CTP!$E$6)</c:f>
              <c:numCache>
                <c:formatCode>"$"#,##0</c:formatCode>
                <c:ptCount val="2"/>
                <c:pt idx="0">
                  <c:v>950</c:v>
                </c:pt>
                <c:pt idx="1">
                  <c:v>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6"/>
          <c:order val="3"/>
          <c:tx>
            <c:strRef>
              <c:f>CTP!$B$8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(CTP!$C$8,CTP!$E$8)</c:f>
              <c:numCache>
                <c:formatCode>"$"#,##0</c:formatCode>
                <c:ptCount val="2"/>
                <c:pt idx="0">
                  <c:v>4180</c:v>
                </c:pt>
                <c:pt idx="1">
                  <c:v>8360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2"/>
          <c:order val="4"/>
          <c:tx>
            <c:strRef>
              <c:f>CTP!$B$7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(CTP!$C$7,CTP!$E$7)</c:f>
              <c:numCache>
                <c:formatCode>"$"#,##0</c:formatCode>
                <c:ptCount val="2"/>
                <c:pt idx="0">
                  <c:v>4370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62-4CAD-8CBF-DFB260EAF5FA}"/>
            </c:ext>
          </c:extLst>
        </c:ser>
        <c:ser>
          <c:idx val="4"/>
          <c:order val="5"/>
          <c:tx>
            <c:strRef>
              <c:f>CTP!$B$9</c:f>
              <c:strCache>
                <c:ptCount val="1"/>
                <c:pt idx="0">
                  <c:v>IMESI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(CTP!$C$9,CTP!$E$9)</c:f>
              <c:numCache>
                <c:formatCode>"$"#,##0</c:formatCode>
                <c:ptCount val="2"/>
                <c:pt idx="0">
                  <c:v>1140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62-4CAD-8CBF-DFB260EAF5FA}"/>
            </c:ext>
          </c:extLst>
        </c:ser>
        <c:ser>
          <c:idx val="3"/>
          <c:order val="6"/>
          <c:tx>
            <c:strRef>
              <c:f>CTP!$B$10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(CTP!$C$10,CTP!$E$10)</c:f>
              <c:numCache>
                <c:formatCode>"$"#,##0</c:formatCode>
                <c:ptCount val="2"/>
                <c:pt idx="0">
                  <c:v>6935</c:v>
                </c:pt>
                <c:pt idx="1">
                  <c:v>6840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62-4CAD-8CBF-DFB260EAF5FA}"/>
            </c:ext>
          </c:extLst>
        </c:ser>
        <c:ser>
          <c:idx val="7"/>
          <c:order val="7"/>
          <c:tx>
            <c:strRef>
              <c:f>CTP!$B$11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(CTP!$C$11,CTP!$E$11)</c:f>
              <c:numCache>
                <c:formatCode>"$"#,##0</c:formatCode>
                <c:ptCount val="2"/>
                <c:pt idx="0">
                  <c:v>6618.3506576468899</c:v>
                </c:pt>
                <c:pt idx="1">
                  <c:v>10776.032481040442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8"/>
          <c:tx>
            <c:strRef>
              <c:f>CTP!$B$12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(CTP!$C$12,CTP!$E$12)</c:f>
              <c:numCache>
                <c:formatCode>"$"#,##0</c:formatCode>
                <c:ptCount val="2"/>
                <c:pt idx="0">
                  <c:v>40800</c:v>
                </c:pt>
                <c:pt idx="1">
                  <c:v>24480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9"/>
          <c:tx>
            <c:strRef>
              <c:f>CTP!$B$13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(CTP!$C$13,CTP!$E$13)</c:f>
              <c:numCache>
                <c:formatCode>"$"#,##0</c:formatCode>
                <c:ptCount val="2"/>
                <c:pt idx="0">
                  <c:v>21906.892799999998</c:v>
                </c:pt>
                <c:pt idx="1">
                  <c:v>3735.9360000000006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0"/>
          <c:tx>
            <c:strRef>
              <c:f>CTP!$B$19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(CTP!$C$2,CTP!$E$2)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(CTP!$C$19,CTP!$E$19)</c:f>
              <c:numCache>
                <c:formatCode>"$"#,##0</c:formatCode>
                <c:ptCount val="2"/>
                <c:pt idx="0">
                  <c:v>2092.8000000000002</c:v>
                </c:pt>
                <c:pt idx="1">
                  <c:v>42.393600000000006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ser>
          <c:idx val="9"/>
          <c:order val="11"/>
          <c:tx>
            <c:v>Sin beneficio COMAP</c:v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</c:spPr>
          <c:invertIfNegative val="0"/>
          <c:val>
            <c:numRef>
              <c:f>(CTP!$C$14,CTP!$E$14)</c:f>
              <c:numCache>
                <c:formatCode>"$"#,##0</c:formatCode>
                <c:ptCount val="2"/>
                <c:pt idx="1">
                  <c:v>17591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1-4810-AC60-8694A07C6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CTP!$B$37</c:f>
              <c:strCache>
                <c:ptCount val="1"/>
                <c:pt idx="0">
                  <c:v>CAPEX con COMAP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CTP!$C$37:$D$37</c:f>
              <c:numCache>
                <c:formatCode>"$"#,##0.000</c:formatCode>
                <c:ptCount val="2"/>
                <c:pt idx="0">
                  <c:v>7.9166666666666663E-2</c:v>
                </c:pt>
                <c:pt idx="1">
                  <c:v>8.5037500000000002E-2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8-4AAD-9704-82523203AEB0}"/>
            </c:ext>
          </c:extLst>
        </c:ser>
        <c:ser>
          <c:idx val="1"/>
          <c:order val="1"/>
          <c:tx>
            <c:strRef>
              <c:f>CTP!$B$39</c:f>
              <c:strCache>
                <c:ptCount val="1"/>
                <c:pt idx="0">
                  <c:v>CAPEX cargador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CTP!$C$39:$D$39</c:f>
              <c:numCache>
                <c:formatCode>"$"#,##0.000</c:formatCode>
                <c:ptCount val="2"/>
                <c:pt idx="0">
                  <c:v>0</c:v>
                </c:pt>
                <c:pt idx="1">
                  <c:v>8.3333333333333332E-3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8-4AAD-9704-82523203AEB0}"/>
            </c:ext>
          </c:extLst>
        </c:ser>
        <c:ser>
          <c:idx val="5"/>
          <c:order val="2"/>
          <c:tx>
            <c:strRef>
              <c:f>CTP!$B$40</c:f>
              <c:strCache>
                <c:ptCount val="1"/>
                <c:pt idx="0">
                  <c:v>Tasa consular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CTP!$C$40:$D$40</c:f>
              <c:numCache>
                <c:formatCode>"$"#,##0.000</c:formatCode>
                <c:ptCount val="2"/>
                <c:pt idx="0">
                  <c:v>3.9583333333333337E-3</c:v>
                </c:pt>
                <c:pt idx="1">
                  <c:v>7.9166666666666673E-3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8-4AAD-9704-82523203AEB0}"/>
            </c:ext>
          </c:extLst>
        </c:ser>
        <c:ser>
          <c:idx val="2"/>
          <c:order val="3"/>
          <c:tx>
            <c:strRef>
              <c:f>CTP!$B$42</c:f>
              <c:strCache>
                <c:ptCount val="1"/>
                <c:pt idx="0">
                  <c:v>IVA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(CTP!$C$42,CTP!$D$42)</c:f>
              <c:numCache>
                <c:formatCode>"$"#,##0.000</c:formatCode>
                <c:ptCount val="2"/>
                <c:pt idx="0">
                  <c:v>1.7416666666666667E-2</c:v>
                </c:pt>
                <c:pt idx="1">
                  <c:v>3.4833333333333334E-2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C-4085-934B-4EA5F95DF8A4}"/>
            </c:ext>
          </c:extLst>
        </c:ser>
        <c:ser>
          <c:idx val="6"/>
          <c:order val="4"/>
          <c:tx>
            <c:strRef>
              <c:f>CTP!$B$41</c:f>
              <c:strCache>
                <c:ptCount val="1"/>
                <c:pt idx="0">
                  <c:v>TGA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CTP!$C$41:$D$41</c:f>
              <c:numCache>
                <c:formatCode>"$"#,##0.000</c:formatCode>
                <c:ptCount val="2"/>
                <c:pt idx="0">
                  <c:v>1.8208333333333333E-2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8-4AAD-9704-82523203AEB0}"/>
            </c:ext>
          </c:extLst>
        </c:ser>
        <c:ser>
          <c:idx val="3"/>
          <c:order val="5"/>
          <c:tx>
            <c:strRef>
              <c:f>CTP!$B$43</c:f>
              <c:strCache>
                <c:ptCount val="1"/>
                <c:pt idx="0">
                  <c:v>IMESI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CTP!$C$43:$D$43</c:f>
              <c:numCache>
                <c:formatCode>"$"#,##0.000</c:formatCode>
                <c:ptCount val="2"/>
                <c:pt idx="0">
                  <c:v>4.7499999999999999E-3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C-4085-934B-4EA5F95DF8A4}"/>
            </c:ext>
          </c:extLst>
        </c:ser>
        <c:ser>
          <c:idx val="4"/>
          <c:order val="6"/>
          <c:tx>
            <c:strRef>
              <c:f>CTP!$B$44</c:f>
              <c:strCache>
                <c:ptCount val="1"/>
                <c:pt idx="0">
                  <c:v>Patente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CTP!$C$44:$D$44</c:f>
              <c:numCache>
                <c:formatCode>"$"#,##0.000</c:formatCode>
                <c:ptCount val="2"/>
                <c:pt idx="0">
                  <c:v>2.8895833333333332E-2</c:v>
                </c:pt>
                <c:pt idx="1">
                  <c:v>2.8500000000000001E-2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C-4085-934B-4EA5F95DF8A4}"/>
            </c:ext>
          </c:extLst>
        </c:ser>
        <c:ser>
          <c:idx val="7"/>
          <c:order val="7"/>
          <c:tx>
            <c:strRef>
              <c:f>CTP!$B$45</c:f>
              <c:strCache>
                <c:ptCount val="1"/>
                <c:pt idx="0">
                  <c:v>Costos de financiamiento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CTP!$C$45:$D$45</c:f>
              <c:numCache>
                <c:formatCode>"$"#,##0.000</c:formatCode>
                <c:ptCount val="2"/>
                <c:pt idx="0">
                  <c:v>2.7576461073528707E-2</c:v>
                </c:pt>
                <c:pt idx="1">
                  <c:v>4.4900135337668505E-2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8-4AAD-9704-82523203AEB0}"/>
            </c:ext>
          </c:extLst>
        </c:ser>
        <c:ser>
          <c:idx val="8"/>
          <c:order val="8"/>
          <c:tx>
            <c:strRef>
              <c:f>CTP!$B$46</c:f>
              <c:strCache>
                <c:ptCount val="1"/>
                <c:pt idx="0">
                  <c:v>Costos de mantenimiento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CTP!$C$46:$D$46</c:f>
              <c:numCache>
                <c:formatCode>"$"#,##0.000</c:formatCode>
                <c:ptCount val="2"/>
                <c:pt idx="0">
                  <c:v>0.17</c:v>
                </c:pt>
                <c:pt idx="1">
                  <c:v>0.10199999999999999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8-4AAD-9704-82523203AEB0}"/>
            </c:ext>
          </c:extLst>
        </c:ser>
        <c:ser>
          <c:idx val="10"/>
          <c:order val="9"/>
          <c:tx>
            <c:strRef>
              <c:f>CTP!$B$47</c:f>
              <c:strCache>
                <c:ptCount val="1"/>
                <c:pt idx="0">
                  <c:v>Costo Energía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CTP!$C$47:$D$47</c:f>
              <c:numCache>
                <c:formatCode>"$"#,##0.000</c:formatCode>
                <c:ptCount val="2"/>
                <c:pt idx="0">
                  <c:v>9.1278719999999994E-2</c:v>
                </c:pt>
                <c:pt idx="1">
                  <c:v>1.5566400000000003E-2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58-4AAD-9704-82523203AEB0}"/>
            </c:ext>
          </c:extLst>
        </c:ser>
        <c:ser>
          <c:idx val="11"/>
          <c:order val="10"/>
          <c:tx>
            <c:strRef>
              <c:f>CTP!$B$48</c:f>
              <c:strCache>
                <c:ptCount val="1"/>
                <c:pt idx="0">
                  <c:v>Costos económicos de las emisiones</c:v>
                </c:pt>
              </c:strCache>
            </c:strRef>
          </c:tx>
          <c:spPr>
            <a:pattFill prst="dkUpDiag">
              <a:fgClr>
                <a:srgbClr val="0070C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CTP!$C$35:$D$35</c:f>
              <c:strCache>
                <c:ptCount val="2"/>
                <c:pt idx="0">
                  <c:v>Gasolina</c:v>
                </c:pt>
                <c:pt idx="1">
                  <c:v>Eléctrico</c:v>
                </c:pt>
              </c:strCache>
            </c:strRef>
          </c:cat>
          <c:val>
            <c:numRef>
              <c:f>CTP!$C$48:$D$48</c:f>
              <c:numCache>
                <c:formatCode>"$"#,##0.000</c:formatCode>
                <c:ptCount val="2"/>
                <c:pt idx="0">
                  <c:v>8.7200000000000003E-3</c:v>
                </c:pt>
                <c:pt idx="1">
                  <c:v>1.7664000000000002E-4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58-4AAD-9704-82523203A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748383"/>
        <c:axId val="165752127"/>
      </c:barChart>
      <c:catAx>
        <c:axId val="165748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52127"/>
        <c:crosses val="autoZero"/>
        <c:auto val="1"/>
        <c:lblAlgn val="ctr"/>
        <c:lblOffset val="100"/>
        <c:noMultiLvlLbl val="0"/>
      </c:catAx>
      <c:valAx>
        <c:axId val="16575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/>
                  <a:t>TCO (USD/km)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16574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2177931338934"/>
          <c:y val="0.16243674297093375"/>
          <c:w val="0.75662429165546652"/>
          <c:h val="0.64880135922684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CTP!$C$136</c:f>
              <c:strCache>
                <c:ptCount val="1"/>
                <c:pt idx="0">
                  <c:v>Combustión</c:v>
                </c:pt>
              </c:strCache>
            </c:strRef>
          </c:tx>
          <c:spPr>
            <a:ln w="63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CTP!$B$137:$B$139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</c:numCache>
            </c:numRef>
          </c:xVal>
          <c:yVal>
            <c:numRef>
              <c:f>CTP!$C$137:$C$139</c:f>
              <c:numCache>
                <c:formatCode>"$"#,##0.000</c:formatCode>
                <c:ptCount val="3"/>
                <c:pt idx="0">
                  <c:v>0.62994330881372407</c:v>
                </c:pt>
                <c:pt idx="1">
                  <c:v>0.44997101440686205</c:v>
                </c:pt>
                <c:pt idx="2">
                  <c:v>0.38998024960457467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5-4685-A980-F39845027EA2}"/>
            </c:ext>
          </c:extLst>
        </c:ser>
        <c:ser>
          <c:idx val="1"/>
          <c:order val="2"/>
          <c:tx>
            <c:strRef>
              <c:f>CTP!$D$136</c:f>
              <c:strCache>
                <c:ptCount val="1"/>
                <c:pt idx="0">
                  <c:v>Eléctrico</c:v>
                </c:pt>
              </c:strCache>
            </c:strRef>
          </c:tx>
          <c:spPr>
            <a:ln w="6350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noFill/>
              </a:ln>
              <a:effectLst/>
            </c:spPr>
          </c:marker>
          <c:xVal>
            <c:numRef>
              <c:f>CTP!$B$137:$B$139</c:f>
              <c:numCache>
                <c:formatCode>0</c:formatCode>
                <c:ptCount val="3"/>
                <c:pt idx="0">
                  <c:v>15000</c:v>
                </c:pt>
                <c:pt idx="1">
                  <c:v>30000</c:v>
                </c:pt>
                <c:pt idx="2">
                  <c:v>45000</c:v>
                </c:pt>
              </c:numCache>
            </c:numRef>
          </c:xVal>
          <c:yVal>
            <c:numRef>
              <c:f>CTP!$D$137:$D$139</c:f>
              <c:numCache>
                <c:formatCode>"$"#,##0.000</c:formatCode>
                <c:ptCount val="3"/>
                <c:pt idx="0">
                  <c:v>0.53678497734200359</c:v>
                </c:pt>
                <c:pt idx="1">
                  <c:v>0.3272640086710018</c:v>
                </c:pt>
                <c:pt idx="2">
                  <c:v>0.25742368578066788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5-4685-A980-F3984502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46095"/>
        <c:axId val="217253583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CTP!$C$140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00B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CTP!$B$137:$B$139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15000</c:v>
                      </c:pt>
                      <c:pt idx="1">
                        <c:v>30000</c:v>
                      </c:pt>
                      <c:pt idx="2">
                        <c:v>45000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CTP!$C$141:$C$143</c15:sqref>
                        </c15:formulaRef>
                      </c:ext>
                    </c:extLst>
                    <c:numCache>
                      <c:formatCode>0.00%</c:formatCode>
                      <c:ptCount val="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1D67-4205-89D4-B62772DDD6FA}"/>
                  </c:ext>
                </c:extLst>
              </c15:ser>
            </c15:filteredScatterSeries>
            <c15:filteredScatter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350" cap="rnd">
                    <a:solidFill>
                      <a:srgbClr val="92D050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noFill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CTP!$B$137:$B$139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15000</c:v>
                      </c:pt>
                      <c:pt idx="1">
                        <c:v>30000</c:v>
                      </c:pt>
                      <c:pt idx="2">
                        <c:v>45000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CTP!$D$141:$D$143</c15:sqref>
                        </c15:formulaRef>
                      </c:ext>
                    </c:extLst>
                    <c:numCache>
                      <c:formatCode>0.00%</c:formatCode>
                      <c:ptCount val="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D67-4205-89D4-B62772DDD6FA}"/>
                  </c:ext>
                </c:extLst>
              </c15:ser>
            </c15:filteredScatterSeries>
          </c:ext>
        </c:extLst>
      </c:scatterChart>
      <c:valAx>
        <c:axId val="217246095"/>
        <c:scaling>
          <c:orientation val="minMax"/>
          <c:max val="45000"/>
          <c:min val="15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Kilometraje</a:t>
                </a:r>
                <a:r>
                  <a:rPr lang="es-CO" b="1" baseline="0"/>
                  <a:t> anual (km)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53583"/>
        <c:crosses val="autoZero"/>
        <c:crossBetween val="midCat"/>
      </c:valAx>
      <c:valAx>
        <c:axId val="21725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CO" b="1"/>
                  <a:t>CTP</a:t>
                </a:r>
                <a:r>
                  <a:rPr lang="es-CO" b="1" baseline="0"/>
                  <a:t> (USD/km)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&quot;$&quot;\ #,##0.0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2172460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9374372072851534E-2"/>
          <c:y val="4.6403712296983757E-2"/>
          <c:w val="0.9"/>
          <c:h val="7.7196455229341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431163</xdr:colOff>
      <xdr:row>48</xdr:row>
      <xdr:rowOff>15275</xdr:rowOff>
    </xdr:from>
    <xdr:to>
      <xdr:col>5</xdr:col>
      <xdr:colOff>773206</xdr:colOff>
      <xdr:row>68</xdr:row>
      <xdr:rowOff>137646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5514915B-D81B-4B42-9FD1-EF681676D8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450849</xdr:colOff>
      <xdr:row>69</xdr:row>
      <xdr:rowOff>29957</xdr:rowOff>
    </xdr:from>
    <xdr:to>
      <xdr:col>5</xdr:col>
      <xdr:colOff>2240</xdr:colOff>
      <xdr:row>89</xdr:row>
      <xdr:rowOff>42658</xdr:rowOff>
    </xdr:to>
    <xdr:graphicFrame macro="">
      <xdr:nvGraphicFramePr>
        <xdr:cNvPr id="10" name="Gráfico 2">
          <a:extLst>
            <a:ext uri="{FF2B5EF4-FFF2-40B4-BE49-F238E27FC236}">
              <a16:creationId xmlns:a16="http://schemas.microsoft.com/office/drawing/2014/main" id="{79A343A0-366A-4AF0-9D09-DF9D247C6A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156323</xdr:colOff>
      <xdr:row>134</xdr:row>
      <xdr:rowOff>12623</xdr:rowOff>
    </xdr:from>
    <xdr:to>
      <xdr:col>10</xdr:col>
      <xdr:colOff>802341</xdr:colOff>
      <xdr:row>152</xdr:row>
      <xdr:rowOff>22412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714F9EB-AFD9-4A7C-B173-AE1B9846B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0.19236</cdr:x>
      <cdr:y>0.01776</cdr:y>
    </cdr:from>
    <cdr:to>
      <cdr:x>0.40703</cdr:x>
      <cdr:y>0.12906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B7BA026-443A-4CC6-A0BA-A392067C3F97}"/>
            </a:ext>
          </a:extLst>
        </cdr:cNvPr>
        <cdr:cNvSpPr txBox="1"/>
      </cdr:nvSpPr>
      <cdr:spPr>
        <a:xfrm xmlns:a="http://schemas.openxmlformats.org/drawingml/2006/main">
          <a:off x="1255666" y="61869"/>
          <a:ext cx="1401300" cy="387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107,993 USD</a:t>
          </a:r>
        </a:p>
        <a:p xmlns:a="http://schemas.openxmlformats.org/drawingml/2006/main">
          <a:pPr algn="ctr"/>
          <a:r>
            <a:rPr lang="es-CO" sz="1100" b="1">
              <a:solidFill>
                <a:srgbClr val="00B0F0"/>
              </a:solidFill>
              <a:latin typeface="Century Gothic" panose="020B0502020202020204" pitchFamily="34" charset="0"/>
            </a:rPr>
            <a:t>0.4 USD/km</a:t>
          </a:r>
        </a:p>
      </cdr:txBody>
    </cdr:sp>
  </cdr:relSizeAnchor>
  <cdr:relSizeAnchor xmlns:cdr="http://schemas.openxmlformats.org/drawingml/2006/chartDrawing">
    <cdr:from>
      <cdr:x>0.47345</cdr:x>
      <cdr:y>0.07786</cdr:y>
    </cdr:from>
    <cdr:to>
      <cdr:x>0.68813</cdr:x>
      <cdr:y>0.22613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B0F23550-5E30-400B-9A1C-F4FAEB04FEB2}"/>
            </a:ext>
          </a:extLst>
        </cdr:cNvPr>
        <cdr:cNvSpPr txBox="1"/>
      </cdr:nvSpPr>
      <cdr:spPr>
        <a:xfrm xmlns:a="http://schemas.openxmlformats.org/drawingml/2006/main">
          <a:off x="3090535" y="271261"/>
          <a:ext cx="1401365" cy="516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81,752 USD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1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0.3 USD/km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0.17904</cdr:x>
      <cdr:y>0.04667</cdr:y>
    </cdr:from>
    <cdr:to>
      <cdr:x>0.38325</cdr:x>
      <cdr:y>0.13208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E812C97-54E6-4E06-A621-B1DAC0E56774}"/>
            </a:ext>
          </a:extLst>
        </cdr:cNvPr>
        <cdr:cNvSpPr txBox="1"/>
      </cdr:nvSpPr>
      <cdr:spPr>
        <a:xfrm xmlns:a="http://schemas.openxmlformats.org/drawingml/2006/main">
          <a:off x="1027141" y="157499"/>
          <a:ext cx="1171560" cy="288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0.450 USD/km</a:t>
          </a:r>
        </a:p>
      </cdr:txBody>
    </cdr:sp>
  </cdr:relSizeAnchor>
  <cdr:relSizeAnchor xmlns:cdr="http://schemas.openxmlformats.org/drawingml/2006/chartDrawing">
    <cdr:from>
      <cdr:x>0.44484</cdr:x>
      <cdr:y>0.25209</cdr:y>
    </cdr:from>
    <cdr:to>
      <cdr:x>0.63947</cdr:x>
      <cdr:y>0.3375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6FEDC5-DF1A-4DC3-8F19-BC5199BFC5F5}"/>
            </a:ext>
          </a:extLst>
        </cdr:cNvPr>
        <cdr:cNvSpPr txBox="1"/>
      </cdr:nvSpPr>
      <cdr:spPr>
        <a:xfrm xmlns:a="http://schemas.openxmlformats.org/drawingml/2006/main">
          <a:off x="2552085" y="850680"/>
          <a:ext cx="1116600" cy="288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100" b="1">
              <a:solidFill>
                <a:srgbClr val="002060"/>
              </a:solidFill>
              <a:latin typeface="Century Gothic" panose="020B0502020202020204" pitchFamily="34" charset="0"/>
            </a:rPr>
            <a:t>0.327 USD/km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542925</xdr:colOff>
      <xdr:row>39</xdr:row>
      <xdr:rowOff>0</xdr:rowOff>
    </xdr:from>
    <xdr:to>
      <xdr:col>10</xdr:col>
      <xdr:colOff>542925</xdr:colOff>
      <xdr:row>40</xdr:row>
      <xdr:rowOff>136575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ED8E02-8CB6-40EB-9ABA-DAB00B4A9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27075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4</xdr:row>
      <xdr:rowOff>0</xdr:rowOff>
    </xdr:from>
    <xdr:ext cx="0" cy="346125"/>
    <xdr:pic>
      <xdr:nvPicPr>
        <xdr:cNvPr id="3" name="Imagen 2">
          <a:extLst>
            <a:ext uri="{FF2B5EF4-FFF2-40B4-BE49-F238E27FC236}">
              <a16:creationId xmlns:a16="http://schemas.microsoft.com/office/drawing/2014/main" id="{B29CDD85-41AA-4A9E-9354-EA7862B90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4" name="Imagen 3">
          <a:extLst>
            <a:ext uri="{FF2B5EF4-FFF2-40B4-BE49-F238E27FC236}">
              <a16:creationId xmlns:a16="http://schemas.microsoft.com/office/drawing/2014/main" id="{555F3F3E-2E8D-4352-A1E5-F762905B0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7858125"/>
          <a:ext cx="0" cy="346125"/>
        </a:xfrm>
        <a:prstGeom prst="rect">
          <a:avLst/>
        </a:prstGeom>
      </xdr:spPr>
    </xdr:pic>
    <xdr:clientData/>
  </xdr:oneCellAnchor>
  <xdr:oneCellAnchor>
    <xdr:from>
      <xdr:col>10</xdr:col>
      <xdr:colOff>542925</xdr:colOff>
      <xdr:row>39</xdr:row>
      <xdr:rowOff>0</xdr:rowOff>
    </xdr:from>
    <xdr:ext cx="0" cy="346125"/>
    <xdr:pic>
      <xdr:nvPicPr>
        <xdr:cNvPr id="5" name="Imagen 4">
          <a:extLst>
            <a:ext uri="{FF2B5EF4-FFF2-40B4-BE49-F238E27FC236}">
              <a16:creationId xmlns:a16="http://schemas.microsoft.com/office/drawing/2014/main" id="{887C39DC-CD07-4F6A-9055-5A3816AD8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857250"/>
          <a:ext cx="0" cy="3461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436880</xdr:colOff>
      <xdr:row>2</xdr:row>
      <xdr:rowOff>1270</xdr:rowOff>
    </xdr:from>
    <xdr:to>
      <xdr:col>9</xdr:col>
      <xdr:colOff>335896</xdr:colOff>
      <xdr:row>18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A85E89-4DC7-49F4-8D5F-B5ADF96F7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880" y="367030"/>
          <a:ext cx="5995016" cy="293243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</xdr:row>
      <xdr:rowOff>57149</xdr:rowOff>
    </xdr:from>
    <xdr:to>
      <xdr:col>9</xdr:col>
      <xdr:colOff>30179</xdr:colOff>
      <xdr:row>17</xdr:row>
      <xdr:rowOff>19049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E1235B-2252-4A9F-B028-BADEA203A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247649"/>
          <a:ext cx="6107129" cy="3009900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</xdr:colOff>
      <xdr:row>1</xdr:row>
      <xdr:rowOff>28575</xdr:rowOff>
    </xdr:from>
    <xdr:to>
      <xdr:col>17</xdr:col>
      <xdr:colOff>87092</xdr:colOff>
      <xdr:row>21</xdr:row>
      <xdr:rowOff>104774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8F8E52-ED95-40B3-97DC-71B347236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24700" y="219075"/>
          <a:ext cx="5916392" cy="3886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TP%20Minibus_UY_vf.xlsx?AF8CED50" TargetMode="External"/><Relationship Id="rId1" Type="http://schemas.openxmlformats.org/officeDocument/2006/relationships/externalLinkPath" Target="file:///\\AF8CED50\CTP%20Minibus_UY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Parametros"/>
      <sheetName val="CTP"/>
      <sheetName val="CTP Valor Presente"/>
      <sheetName val="Fuentes"/>
    </sheetNames>
    <sheetDataSet>
      <sheetData sheetId="0"/>
      <sheetData sheetId="1"/>
      <sheetData sheetId="2">
        <row r="7">
          <cell r="C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toblog.com.uy/p/precios-0km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brou.com.uy/documents/20182/49226/Tasas_20160905.pdf/3c2a1575-f48e-440d-bd97-f4a87fb1619e" TargetMode="External"/><Relationship Id="rId7" Type="http://schemas.openxmlformats.org/officeDocument/2006/relationships/hyperlink" Target="https://www.energy.gov/sites/prod/files/2017/02/f34/67089%20EERE%20LIB%20cost%20vs%20price%20metrics%20r9.pdf" TargetMode="External"/><Relationship Id="rId12" Type="http://schemas.openxmlformats.org/officeDocument/2006/relationships/hyperlink" Target="https://www.ancap.com.uy/2093/1/precios-combustibles.html" TargetMode="External"/><Relationship Id="rId2" Type="http://schemas.openxmlformats.org/officeDocument/2006/relationships/hyperlink" Target="https://montevideo.gub.uy/sites/default/files/biblioteca/informefinalt.oneroso12032019_0.pdf" TargetMode="External"/><Relationship Id="rId1" Type="http://schemas.openxmlformats.org/officeDocument/2006/relationships/hyperlink" Target="https://www.xe.com/currencyconverter/convert/?Amount=1&amp;From=UYU&amp;To=USD" TargetMode="External"/><Relationship Id="rId6" Type="http://schemas.openxmlformats.org/officeDocument/2006/relationships/hyperlink" Target="https://www.energy.gov/sites/prod/files/2017/02/f34/67089%20EERE%20LIB%20cost%20vs%20price%20metrics%20r9.pdf" TargetMode="External"/><Relationship Id="rId11" Type="http://schemas.openxmlformats.org/officeDocument/2006/relationships/hyperlink" Target="https://www.ute.com.uy/sites/default/files/docs/Pliego%20Tarifario%20Vigente%20desde%201%20de%20Enero%20de%202022.pdf" TargetMode="External"/><Relationship Id="rId5" Type="http://schemas.openxmlformats.org/officeDocument/2006/relationships/hyperlink" Target="https://www.autoblog.com.uy/p/precios-0km.html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byd.com.uy/vehiculos/t3/" TargetMode="External"/><Relationship Id="rId4" Type="http://schemas.openxmlformats.org/officeDocument/2006/relationships/hyperlink" Target="https://montevideo.gub.uy/noticias/movilidad-y-transporte/nueva-convocatoria-para-taxis-100-electricos" TargetMode="External"/><Relationship Id="rId9" Type="http://schemas.openxmlformats.org/officeDocument/2006/relationships/hyperlink" Target="https://www.autoblog.com.uy/p/precios-0km.html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832AD-1407-4D45-B115-A20F94494001}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5" width="11.85546875" style="258" customWidth="1"/>
    <col min="16" max="16384" width="11.42578125" style="258"/>
  </cols>
  <sheetData>
    <row r="1" spans="1:15" ht="17.25" thickBot="1" x14ac:dyDescent="0.35">
      <c r="A1" s="255" t="s">
        <v>214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7"/>
    </row>
    <row r="2" spans="1:15" x14ac:dyDescent="0.3">
      <c r="A2" s="259"/>
      <c r="O2" s="260"/>
    </row>
    <row r="3" spans="1:15" x14ac:dyDescent="0.3">
      <c r="A3" s="259" t="s">
        <v>215</v>
      </c>
      <c r="O3" s="260"/>
    </row>
    <row r="4" spans="1:15" x14ac:dyDescent="0.3">
      <c r="A4" s="259"/>
      <c r="O4" s="260"/>
    </row>
    <row r="5" spans="1:15" x14ac:dyDescent="0.3">
      <c r="A5" s="261"/>
      <c r="B5" s="258" t="s">
        <v>216</v>
      </c>
      <c r="O5" s="260"/>
    </row>
    <row r="6" spans="1:15" x14ac:dyDescent="0.3">
      <c r="A6" s="259"/>
      <c r="O6" s="260"/>
    </row>
    <row r="7" spans="1:15" x14ac:dyDescent="0.3">
      <c r="A7" s="262"/>
      <c r="B7" s="258" t="s">
        <v>217</v>
      </c>
      <c r="O7" s="260"/>
    </row>
    <row r="8" spans="1:15" x14ac:dyDescent="0.3">
      <c r="A8" s="259"/>
      <c r="O8" s="260"/>
    </row>
    <row r="9" spans="1:15" x14ac:dyDescent="0.3">
      <c r="A9" s="263"/>
      <c r="B9" s="258" t="s">
        <v>218</v>
      </c>
      <c r="O9" s="260"/>
    </row>
    <row r="10" spans="1:15" x14ac:dyDescent="0.3">
      <c r="A10" s="259"/>
      <c r="O10" s="260"/>
    </row>
    <row r="11" spans="1:15" x14ac:dyDescent="0.3">
      <c r="A11" s="259"/>
      <c r="O11" s="260"/>
    </row>
    <row r="12" spans="1:15" x14ac:dyDescent="0.3">
      <c r="A12" s="259" t="s">
        <v>219</v>
      </c>
      <c r="O12" s="260"/>
    </row>
    <row r="13" spans="1:15" x14ac:dyDescent="0.3">
      <c r="A13" s="259"/>
      <c r="O13" s="260"/>
    </row>
    <row r="14" spans="1:15" ht="17.25" thickBot="1" x14ac:dyDescent="0.35">
      <c r="A14" s="264" t="s">
        <v>220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6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C5EA-8F0E-436F-80F2-1FA6C505C803}">
  <dimension ref="A1:N141"/>
  <sheetViews>
    <sheetView zoomScale="85" zoomScaleNormal="85" workbookViewId="0">
      <selection sqref="A1:F1"/>
    </sheetView>
  </sheetViews>
  <sheetFormatPr baseColWidth="10" defaultColWidth="10.85546875" defaultRowHeight="13.5" x14ac:dyDescent="0.25"/>
  <cols>
    <col min="1" max="1" width="33.85546875" style="7" customWidth="1"/>
    <col min="2" max="3" width="18.140625" style="7" customWidth="1"/>
    <col min="4" max="4" width="25.85546875" style="7" customWidth="1"/>
    <col min="5" max="5" width="18.140625" style="7" customWidth="1"/>
    <col min="6" max="9" width="18.28515625" style="7" customWidth="1"/>
    <col min="10" max="10" width="20.42578125" style="7" customWidth="1"/>
    <col min="11" max="16384" width="10.85546875" style="7"/>
  </cols>
  <sheetData>
    <row r="1" spans="1:14" s="3" customFormat="1" ht="12.6" x14ac:dyDescent="0.25">
      <c r="A1" s="227" t="s">
        <v>119</v>
      </c>
      <c r="B1" s="227"/>
      <c r="C1" s="227"/>
      <c r="D1" s="227"/>
      <c r="E1" s="227"/>
      <c r="F1" s="227"/>
    </row>
    <row r="2" spans="1:14" s="3" customFormat="1" x14ac:dyDescent="0.25">
      <c r="C2" s="4"/>
      <c r="D2" s="4"/>
      <c r="E2" s="4"/>
    </row>
    <row r="3" spans="1:14" s="3" customFormat="1" x14ac:dyDescent="0.25">
      <c r="A3" s="228" t="s">
        <v>35</v>
      </c>
      <c r="B3" s="228"/>
      <c r="C3" s="228"/>
      <c r="D3" s="228"/>
      <c r="E3" s="228"/>
      <c r="F3" s="228"/>
    </row>
    <row r="4" spans="1:14" s="3" customFormat="1" x14ac:dyDescent="0.25">
      <c r="A4" s="5" t="s">
        <v>136</v>
      </c>
      <c r="C4" s="4"/>
      <c r="D4" s="4"/>
      <c r="E4" s="4"/>
      <c r="F4" s="6" t="s">
        <v>36</v>
      </c>
      <c r="G4" s="6" t="s">
        <v>37</v>
      </c>
      <c r="H4" s="6" t="s">
        <v>111</v>
      </c>
      <c r="I4" s="6" t="s">
        <v>147</v>
      </c>
    </row>
    <row r="5" spans="1:14" s="3" customFormat="1" x14ac:dyDescent="0.25">
      <c r="A5" s="6" t="s">
        <v>36</v>
      </c>
      <c r="B5" s="6" t="s">
        <v>37</v>
      </c>
      <c r="C5" s="6" t="s">
        <v>38</v>
      </c>
      <c r="D5" s="6" t="s">
        <v>39</v>
      </c>
      <c r="E5" s="7"/>
      <c r="F5" s="8" t="s">
        <v>85</v>
      </c>
      <c r="G5" s="8" t="s">
        <v>1</v>
      </c>
      <c r="H5" s="104">
        <f>C6</f>
        <v>19000</v>
      </c>
      <c r="I5" s="104">
        <f>C14</f>
        <v>38000</v>
      </c>
      <c r="M5" s="114" t="s">
        <v>105</v>
      </c>
    </row>
    <row r="6" spans="1:14" s="3" customFormat="1" ht="40.5" x14ac:dyDescent="0.25">
      <c r="A6" s="8" t="s">
        <v>0</v>
      </c>
      <c r="B6" s="8" t="s">
        <v>1</v>
      </c>
      <c r="C6" s="17">
        <v>19000</v>
      </c>
      <c r="D6" s="2" t="s">
        <v>108</v>
      </c>
      <c r="E6" s="99" t="s">
        <v>181</v>
      </c>
      <c r="F6" s="8" t="s">
        <v>148</v>
      </c>
      <c r="G6" s="8" t="s">
        <v>1</v>
      </c>
      <c r="H6" s="106" t="s">
        <v>31</v>
      </c>
      <c r="I6" s="105">
        <f>C23</f>
        <v>2000</v>
      </c>
      <c r="M6" s="3" t="s">
        <v>24</v>
      </c>
      <c r="N6" s="99" t="s">
        <v>25</v>
      </c>
    </row>
    <row r="7" spans="1:14" s="3" customFormat="1" ht="15" x14ac:dyDescent="0.25">
      <c r="A7" s="8" t="s">
        <v>40</v>
      </c>
      <c r="B7" s="8" t="s">
        <v>41</v>
      </c>
      <c r="C7" s="18">
        <v>8</v>
      </c>
      <c r="D7" s="2"/>
      <c r="E7" s="7"/>
      <c r="F7" s="8" t="s">
        <v>169</v>
      </c>
      <c r="G7" s="8" t="s">
        <v>41</v>
      </c>
      <c r="H7" s="106">
        <f>C7</f>
        <v>8</v>
      </c>
      <c r="I7" s="11">
        <f>C16</f>
        <v>8</v>
      </c>
      <c r="M7" s="3" t="s">
        <v>26</v>
      </c>
      <c r="N7" s="99" t="s">
        <v>27</v>
      </c>
    </row>
    <row r="8" spans="1:14" s="3" customFormat="1" ht="15" x14ac:dyDescent="0.25">
      <c r="A8" s="8" t="s">
        <v>42</v>
      </c>
      <c r="B8" s="8" t="s">
        <v>2</v>
      </c>
      <c r="C8" s="153">
        <v>5.3</v>
      </c>
      <c r="D8" s="2"/>
      <c r="E8" s="7" t="s">
        <v>109</v>
      </c>
      <c r="F8" s="8" t="s">
        <v>170</v>
      </c>
      <c r="G8" s="8" t="s">
        <v>41</v>
      </c>
      <c r="H8" s="106" t="s">
        <v>31</v>
      </c>
      <c r="I8" s="11">
        <f>C17</f>
        <v>8</v>
      </c>
      <c r="M8" s="3" t="s">
        <v>29</v>
      </c>
      <c r="N8" s="99" t="s">
        <v>28</v>
      </c>
    </row>
    <row r="9" spans="1:14" s="3" customFormat="1" ht="37.5" customHeight="1" x14ac:dyDescent="0.25">
      <c r="A9" s="8" t="s">
        <v>43</v>
      </c>
      <c r="B9" s="8" t="s">
        <v>3</v>
      </c>
      <c r="C9" s="154">
        <v>0.17</v>
      </c>
      <c r="D9" s="2" t="s">
        <v>110</v>
      </c>
      <c r="E9" s="7"/>
      <c r="F9" s="8" t="s">
        <v>149</v>
      </c>
      <c r="G9" s="8" t="s">
        <v>3</v>
      </c>
      <c r="H9" s="125">
        <f>C9</f>
        <v>0.17</v>
      </c>
      <c r="I9" s="125">
        <f>C19</f>
        <v>0.10200000000000001</v>
      </c>
    </row>
    <row r="10" spans="1:14" ht="22.5" customHeight="1" x14ac:dyDescent="0.25">
      <c r="F10" s="8" t="s">
        <v>42</v>
      </c>
      <c r="G10" s="8" t="s">
        <v>31</v>
      </c>
      <c r="H10" s="106" t="s">
        <v>152</v>
      </c>
      <c r="I10" s="106" t="s">
        <v>153</v>
      </c>
      <c r="J10" s="3"/>
    </row>
    <row r="11" spans="1:14" s="3" customFormat="1" x14ac:dyDescent="0.25">
      <c r="A11" s="5" t="s">
        <v>137</v>
      </c>
      <c r="C11" s="4"/>
      <c r="D11" s="4"/>
      <c r="E11" s="7"/>
      <c r="F11" s="8" t="s">
        <v>150</v>
      </c>
      <c r="G11" s="8" t="s">
        <v>55</v>
      </c>
      <c r="H11" s="231">
        <f>C38</f>
        <v>30000</v>
      </c>
      <c r="I11" s="231"/>
    </row>
    <row r="12" spans="1:14" s="3" customFormat="1" x14ac:dyDescent="0.25">
      <c r="A12" s="6" t="s">
        <v>36</v>
      </c>
      <c r="B12" s="6" t="s">
        <v>37</v>
      </c>
      <c r="C12" s="6" t="s">
        <v>38</v>
      </c>
      <c r="D12" s="6" t="s">
        <v>39</v>
      </c>
      <c r="E12" s="7"/>
      <c r="F12" s="8" t="s">
        <v>151</v>
      </c>
      <c r="G12" s="8" t="s">
        <v>59</v>
      </c>
      <c r="H12" s="231">
        <f>C41</f>
        <v>300</v>
      </c>
      <c r="I12" s="231"/>
    </row>
    <row r="13" spans="1:14" s="3" customFormat="1" x14ac:dyDescent="0.25">
      <c r="A13" s="6"/>
      <c r="B13" s="6"/>
      <c r="C13" s="6"/>
      <c r="D13" s="6"/>
      <c r="E13" s="7"/>
    </row>
    <row r="14" spans="1:14" s="3" customFormat="1" ht="15" x14ac:dyDescent="0.25">
      <c r="A14" s="8" t="s">
        <v>177</v>
      </c>
      <c r="B14" s="8" t="s">
        <v>1</v>
      </c>
      <c r="C14" s="155">
        <v>38000</v>
      </c>
      <c r="D14" s="2" t="s">
        <v>139</v>
      </c>
      <c r="E14" s="124" t="s">
        <v>181</v>
      </c>
      <c r="F14" s="7"/>
      <c r="G14" s="7"/>
    </row>
    <row r="15" spans="1:14" s="3" customFormat="1" ht="15" x14ac:dyDescent="0.25">
      <c r="A15" s="8" t="s">
        <v>44</v>
      </c>
      <c r="B15" s="8" t="s">
        <v>23</v>
      </c>
      <c r="C15" s="159">
        <v>44.9</v>
      </c>
      <c r="D15" s="2"/>
      <c r="E15" s="124" t="s">
        <v>181</v>
      </c>
      <c r="F15" s="7"/>
      <c r="G15" s="7"/>
    </row>
    <row r="16" spans="1:14" s="3" customFormat="1" ht="27" x14ac:dyDescent="0.25">
      <c r="A16" s="8" t="s">
        <v>178</v>
      </c>
      <c r="B16" s="8" t="s">
        <v>41</v>
      </c>
      <c r="C16" s="157">
        <v>8</v>
      </c>
      <c r="D16" s="2" t="s">
        <v>129</v>
      </c>
      <c r="E16" s="7"/>
      <c r="F16" s="7"/>
      <c r="G16" s="7"/>
    </row>
    <row r="17" spans="1:7" s="3" customFormat="1" x14ac:dyDescent="0.25">
      <c r="A17" s="8" t="s">
        <v>45</v>
      </c>
      <c r="B17" s="8" t="s">
        <v>41</v>
      </c>
      <c r="C17" s="157">
        <v>8</v>
      </c>
      <c r="D17" s="2" t="s">
        <v>46</v>
      </c>
      <c r="E17" s="7"/>
      <c r="F17" s="7"/>
      <c r="G17" s="7"/>
    </row>
    <row r="18" spans="1:7" s="3" customFormat="1" ht="37.5" customHeight="1" x14ac:dyDescent="0.25">
      <c r="A18" s="8" t="s">
        <v>42</v>
      </c>
      <c r="B18" s="8" t="s">
        <v>4</v>
      </c>
      <c r="C18" s="157">
        <f>48/300</f>
        <v>0.16</v>
      </c>
      <c r="D18" s="2"/>
      <c r="E18" s="99" t="s">
        <v>171</v>
      </c>
      <c r="F18" s="7"/>
      <c r="G18" s="7"/>
    </row>
    <row r="19" spans="1:7" ht="27" x14ac:dyDescent="0.25">
      <c r="A19" s="8" t="s">
        <v>43</v>
      </c>
      <c r="B19" s="8" t="s">
        <v>3</v>
      </c>
      <c r="C19" s="158">
        <f>C9*0.6</f>
        <v>0.10200000000000001</v>
      </c>
      <c r="D19" s="2" t="s">
        <v>120</v>
      </c>
    </row>
    <row r="20" spans="1:7" s="10" customFormat="1" x14ac:dyDescent="0.25">
      <c r="A20" s="9"/>
      <c r="B20" s="9"/>
      <c r="C20" s="94"/>
      <c r="D20" s="95"/>
      <c r="E20" s="7"/>
    </row>
    <row r="21" spans="1:7" s="3" customFormat="1" x14ac:dyDescent="0.25">
      <c r="A21" s="5" t="s">
        <v>123</v>
      </c>
      <c r="C21" s="4"/>
      <c r="D21" s="4"/>
      <c r="E21" s="7"/>
    </row>
    <row r="22" spans="1:7" s="3" customFormat="1" x14ac:dyDescent="0.25">
      <c r="A22" s="6" t="s">
        <v>36</v>
      </c>
      <c r="B22" s="6" t="s">
        <v>37</v>
      </c>
      <c r="C22" s="6" t="s">
        <v>38</v>
      </c>
      <c r="D22" s="6" t="s">
        <v>39</v>
      </c>
      <c r="E22" s="7"/>
      <c r="F22" s="7"/>
      <c r="G22" s="7"/>
    </row>
    <row r="23" spans="1:7" ht="27" x14ac:dyDescent="0.25">
      <c r="A23" s="8" t="s">
        <v>86</v>
      </c>
      <c r="B23" s="8" t="s">
        <v>1</v>
      </c>
      <c r="C23" s="158">
        <v>2000</v>
      </c>
      <c r="D23" s="2" t="s">
        <v>51</v>
      </c>
    </row>
    <row r="24" spans="1:7" x14ac:dyDescent="0.25">
      <c r="A24" s="8" t="s">
        <v>172</v>
      </c>
      <c r="B24" s="8" t="s">
        <v>173</v>
      </c>
      <c r="C24" s="159">
        <v>7.4</v>
      </c>
      <c r="D24" s="2"/>
    </row>
    <row r="25" spans="1:7" s="3" customFormat="1" x14ac:dyDescent="0.25">
      <c r="A25" s="8" t="s">
        <v>121</v>
      </c>
      <c r="B25" s="8" t="s">
        <v>9</v>
      </c>
      <c r="C25" s="160">
        <v>0.7</v>
      </c>
      <c r="D25" s="230" t="s">
        <v>50</v>
      </c>
      <c r="E25" s="7"/>
      <c r="F25" s="7"/>
      <c r="G25" s="7"/>
    </row>
    <row r="26" spans="1:7" s="3" customFormat="1" ht="27" x14ac:dyDescent="0.25">
      <c r="A26" s="8" t="s">
        <v>48</v>
      </c>
      <c r="B26" s="8" t="s">
        <v>9</v>
      </c>
      <c r="C26" s="160">
        <v>0.3</v>
      </c>
      <c r="D26" s="230"/>
      <c r="E26" s="7"/>
      <c r="F26" s="7"/>
      <c r="G26" s="7"/>
    </row>
    <row r="27" spans="1:7" s="3" customFormat="1" x14ac:dyDescent="0.25">
      <c r="A27" s="8" t="s">
        <v>47</v>
      </c>
      <c r="B27" s="8" t="s">
        <v>49</v>
      </c>
      <c r="C27" s="156">
        <v>10</v>
      </c>
      <c r="D27" s="2" t="s">
        <v>52</v>
      </c>
      <c r="E27" s="7"/>
      <c r="F27" s="7"/>
      <c r="G27" s="7"/>
    </row>
    <row r="29" spans="1:7" x14ac:dyDescent="0.25">
      <c r="A29" s="5" t="s">
        <v>124</v>
      </c>
      <c r="B29" s="3"/>
      <c r="C29" s="4"/>
      <c r="D29" s="4"/>
      <c r="E29" s="4"/>
    </row>
    <row r="30" spans="1:7" x14ac:dyDescent="0.25">
      <c r="A30" s="6" t="s">
        <v>36</v>
      </c>
      <c r="B30" s="6" t="s">
        <v>37</v>
      </c>
      <c r="C30" s="6" t="s">
        <v>38</v>
      </c>
      <c r="D30" s="6" t="s">
        <v>39</v>
      </c>
    </row>
    <row r="31" spans="1:7" ht="27" x14ac:dyDescent="0.25">
      <c r="A31" s="8" t="s">
        <v>125</v>
      </c>
      <c r="B31" s="8" t="s">
        <v>9</v>
      </c>
      <c r="C31" s="160">
        <v>0.5</v>
      </c>
      <c r="D31" s="2" t="s">
        <v>126</v>
      </c>
      <c r="E31" s="99" t="s">
        <v>127</v>
      </c>
    </row>
    <row r="32" spans="1:7" ht="27" x14ac:dyDescent="0.25">
      <c r="A32" s="8" t="s">
        <v>128</v>
      </c>
      <c r="B32" s="8" t="s">
        <v>9</v>
      </c>
      <c r="C32" s="160">
        <v>0.7</v>
      </c>
      <c r="D32" s="2" t="s">
        <v>126</v>
      </c>
      <c r="E32" s="99" t="s">
        <v>127</v>
      </c>
    </row>
    <row r="33" spans="1:9" x14ac:dyDescent="0.25">
      <c r="C33" s="14"/>
    </row>
    <row r="35" spans="1:9" x14ac:dyDescent="0.25">
      <c r="A35" s="229" t="s">
        <v>53</v>
      </c>
      <c r="B35" s="229"/>
      <c r="C35" s="229"/>
      <c r="D35" s="229"/>
      <c r="F35" s="232" t="s">
        <v>88</v>
      </c>
      <c r="G35" s="232"/>
      <c r="H35" s="232"/>
      <c r="I35" s="232"/>
    </row>
    <row r="36" spans="1:9" x14ac:dyDescent="0.25">
      <c r="G36" s="66"/>
      <c r="H36" s="65">
        <v>0.5</v>
      </c>
      <c r="I36" s="65">
        <v>-0.5</v>
      </c>
    </row>
    <row r="37" spans="1:9" ht="12" customHeight="1" x14ac:dyDescent="0.25">
      <c r="A37" s="6" t="s">
        <v>36</v>
      </c>
      <c r="B37" s="6" t="s">
        <v>37</v>
      </c>
      <c r="C37" s="6" t="s">
        <v>38</v>
      </c>
      <c r="D37" s="6" t="s">
        <v>39</v>
      </c>
      <c r="F37" s="6" t="s">
        <v>36</v>
      </c>
      <c r="G37" s="6" t="s">
        <v>37</v>
      </c>
      <c r="H37" s="6" t="s">
        <v>38</v>
      </c>
    </row>
    <row r="38" spans="1:9" s="10" customFormat="1" ht="38.25" customHeight="1" x14ac:dyDescent="0.25">
      <c r="A38" s="8" t="s">
        <v>54</v>
      </c>
      <c r="B38" s="8" t="s">
        <v>55</v>
      </c>
      <c r="C38" s="161">
        <v>30000</v>
      </c>
      <c r="D38" s="53" t="s">
        <v>140</v>
      </c>
      <c r="E38" s="7"/>
      <c r="F38" s="8" t="s">
        <v>54</v>
      </c>
      <c r="G38" s="8" t="s">
        <v>55</v>
      </c>
      <c r="H38" s="18">
        <f>C38*(1+H36)</f>
        <v>45000</v>
      </c>
      <c r="I38" s="18">
        <f>C38*(1+I36)</f>
        <v>15000</v>
      </c>
    </row>
    <row r="39" spans="1:9" ht="27" x14ac:dyDescent="0.25">
      <c r="A39" s="8" t="s">
        <v>56</v>
      </c>
      <c r="B39" s="8" t="s">
        <v>8</v>
      </c>
      <c r="C39" s="162">
        <f>C38*C7</f>
        <v>240000</v>
      </c>
      <c r="D39" s="1" t="s">
        <v>62</v>
      </c>
      <c r="F39" s="8" t="s">
        <v>56</v>
      </c>
      <c r="G39" s="8" t="s">
        <v>8</v>
      </c>
      <c r="H39" s="12">
        <f>H38*C7</f>
        <v>360000</v>
      </c>
      <c r="I39" s="12">
        <f>I38*C7</f>
        <v>120000</v>
      </c>
    </row>
    <row r="40" spans="1:9" ht="27" x14ac:dyDescent="0.25">
      <c r="A40" s="8" t="s">
        <v>57</v>
      </c>
      <c r="B40" s="8" t="s">
        <v>8</v>
      </c>
      <c r="C40" s="162">
        <f>C38*$C$16</f>
        <v>240000</v>
      </c>
      <c r="D40" s="1" t="s">
        <v>62</v>
      </c>
      <c r="F40" s="8" t="s">
        <v>57</v>
      </c>
      <c r="G40" s="8" t="s">
        <v>8</v>
      </c>
      <c r="H40" s="12">
        <f>H38*C17</f>
        <v>360000</v>
      </c>
      <c r="I40" s="12">
        <f>I38*C16</f>
        <v>120000</v>
      </c>
    </row>
    <row r="41" spans="1:9" ht="27" x14ac:dyDescent="0.25">
      <c r="A41" s="8" t="s">
        <v>58</v>
      </c>
      <c r="B41" s="8" t="s">
        <v>59</v>
      </c>
      <c r="C41" s="18">
        <v>300</v>
      </c>
      <c r="D41" s="1" t="s">
        <v>52</v>
      </c>
      <c r="F41" s="8" t="s">
        <v>58</v>
      </c>
      <c r="G41" s="8" t="s">
        <v>59</v>
      </c>
      <c r="H41" s="18">
        <v>300</v>
      </c>
      <c r="I41" s="18">
        <v>300</v>
      </c>
    </row>
    <row r="42" spans="1:9" x14ac:dyDescent="0.25">
      <c r="A42" s="8" t="s">
        <v>60</v>
      </c>
      <c r="B42" s="8" t="s">
        <v>8</v>
      </c>
      <c r="C42" s="12">
        <f>C38/C41</f>
        <v>100</v>
      </c>
      <c r="D42" s="1" t="s">
        <v>62</v>
      </c>
      <c r="F42" s="8" t="s">
        <v>60</v>
      </c>
      <c r="G42" s="8" t="s">
        <v>8</v>
      </c>
      <c r="H42" s="12">
        <f>H38/H41</f>
        <v>150</v>
      </c>
      <c r="I42" s="12">
        <f>I38/I41</f>
        <v>50</v>
      </c>
    </row>
    <row r="43" spans="1:9" ht="27" x14ac:dyDescent="0.25">
      <c r="A43" s="8" t="s">
        <v>61</v>
      </c>
      <c r="B43" s="8" t="s">
        <v>7</v>
      </c>
      <c r="C43" s="12">
        <f>C42*$C$18</f>
        <v>16</v>
      </c>
      <c r="D43" s="1" t="s">
        <v>62</v>
      </c>
      <c r="F43" s="8" t="s">
        <v>61</v>
      </c>
      <c r="G43" s="8" t="s">
        <v>7</v>
      </c>
      <c r="H43" s="12">
        <f>H42*$C$18</f>
        <v>24</v>
      </c>
      <c r="I43" s="12">
        <f>I42*$C$18</f>
        <v>8</v>
      </c>
    </row>
    <row r="44" spans="1:9" x14ac:dyDescent="0.25">
      <c r="A44" s="9"/>
      <c r="B44" s="9"/>
      <c r="C44" s="15"/>
      <c r="D44" s="13"/>
      <c r="E44" s="10"/>
    </row>
    <row r="46" spans="1:9" x14ac:dyDescent="0.25">
      <c r="A46" s="119" t="s">
        <v>71</v>
      </c>
      <c r="B46" s="119"/>
      <c r="C46" s="119"/>
      <c r="D46" s="119"/>
      <c r="E46" s="119"/>
    </row>
    <row r="47" spans="1:9" x14ac:dyDescent="0.25">
      <c r="A47" s="5"/>
    </row>
    <row r="48" spans="1:9" x14ac:dyDescent="0.25">
      <c r="A48" s="6" t="s">
        <v>36</v>
      </c>
      <c r="B48" s="6" t="s">
        <v>37</v>
      </c>
      <c r="C48" s="6" t="s">
        <v>38</v>
      </c>
      <c r="D48" s="6" t="s">
        <v>39</v>
      </c>
    </row>
    <row r="49" spans="1:13" ht="27" x14ac:dyDescent="0.25">
      <c r="A49" s="8" t="s">
        <v>63</v>
      </c>
      <c r="B49" s="8" t="s">
        <v>9</v>
      </c>
      <c r="C49" s="19">
        <v>0.7</v>
      </c>
      <c r="D49" s="2"/>
    </row>
    <row r="50" spans="1:13" x14ac:dyDescent="0.25">
      <c r="A50" s="8" t="s">
        <v>64</v>
      </c>
      <c r="B50" s="8" t="s">
        <v>41</v>
      </c>
      <c r="C50" s="115">
        <v>5</v>
      </c>
      <c r="D50" s="2"/>
    </row>
    <row r="51" spans="1:13" x14ac:dyDescent="0.25">
      <c r="A51" s="8" t="s">
        <v>65</v>
      </c>
      <c r="B51" s="8" t="s">
        <v>66</v>
      </c>
      <c r="C51" s="20">
        <v>0.1</v>
      </c>
      <c r="D51" s="1" t="s">
        <v>26</v>
      </c>
    </row>
    <row r="52" spans="1:13" ht="36" customHeight="1" x14ac:dyDescent="0.25">
      <c r="A52" s="8" t="s">
        <v>67</v>
      </c>
      <c r="B52" s="8" t="s">
        <v>66</v>
      </c>
      <c r="C52" s="20">
        <v>0.1</v>
      </c>
      <c r="D52" s="1" t="s">
        <v>26</v>
      </c>
    </row>
    <row r="53" spans="1:13" ht="60" x14ac:dyDescent="0.25">
      <c r="A53" s="8" t="s">
        <v>68</v>
      </c>
      <c r="B53" s="8" t="s">
        <v>69</v>
      </c>
      <c r="C53" s="163">
        <v>2.3E-2</v>
      </c>
      <c r="D53" s="21" t="s">
        <v>11</v>
      </c>
    </row>
    <row r="54" spans="1:13" s="16" customFormat="1" x14ac:dyDescent="0.25">
      <c r="A54" s="7"/>
      <c r="B54" s="7"/>
      <c r="C54" s="7"/>
      <c r="D54" s="7"/>
      <c r="E54" s="7"/>
    </row>
    <row r="56" spans="1:13" ht="14.25" thickBot="1" x14ac:dyDescent="0.3">
      <c r="A56" s="229" t="s">
        <v>70</v>
      </c>
      <c r="B56" s="229"/>
      <c r="C56" s="229"/>
      <c r="D56" s="229"/>
      <c r="E56" s="229"/>
      <c r="F56" s="229"/>
      <c r="G56" s="229"/>
      <c r="H56" s="229"/>
      <c r="J56" s="226" t="s">
        <v>88</v>
      </c>
      <c r="K56" s="226"/>
      <c r="L56" s="226"/>
      <c r="M56" s="226"/>
    </row>
    <row r="57" spans="1:13" x14ac:dyDescent="0.25">
      <c r="A57" s="164"/>
      <c r="B57" s="165" t="s">
        <v>182</v>
      </c>
      <c r="C57" s="165" t="s">
        <v>183</v>
      </c>
      <c r="D57" s="142"/>
      <c r="E57" s="142"/>
      <c r="F57" s="142"/>
      <c r="G57" s="142"/>
      <c r="H57" s="143"/>
      <c r="J57" s="65" t="s">
        <v>179</v>
      </c>
      <c r="K57" s="65" t="s">
        <v>180</v>
      </c>
      <c r="L57" s="65" t="s">
        <v>179</v>
      </c>
      <c r="M57" s="65" t="s">
        <v>180</v>
      </c>
    </row>
    <row r="58" spans="1:13" x14ac:dyDescent="0.25">
      <c r="A58" s="144" t="s">
        <v>184</v>
      </c>
      <c r="B58" s="166">
        <v>74.88</v>
      </c>
      <c r="C58" s="167">
        <f>B58*$C$53</f>
        <v>1.7222399999999998</v>
      </c>
      <c r="H58" s="146"/>
      <c r="J58" s="65"/>
      <c r="K58" s="65"/>
      <c r="L58" s="65"/>
      <c r="M58" s="65"/>
    </row>
    <row r="59" spans="1:13" x14ac:dyDescent="0.25">
      <c r="A59" s="144"/>
      <c r="B59" s="233" t="s">
        <v>185</v>
      </c>
      <c r="C59" s="233"/>
      <c r="D59" s="233" t="s">
        <v>186</v>
      </c>
      <c r="E59" s="233"/>
      <c r="H59" s="146"/>
      <c r="J59" s="65"/>
      <c r="K59" s="65"/>
      <c r="L59" s="65"/>
      <c r="M59" s="65"/>
    </row>
    <row r="60" spans="1:13" x14ac:dyDescent="0.25">
      <c r="A60" s="144"/>
      <c r="B60" s="168" t="s">
        <v>187</v>
      </c>
      <c r="C60" s="168" t="s">
        <v>188</v>
      </c>
      <c r="D60" s="168" t="s">
        <v>187</v>
      </c>
      <c r="E60" s="168" t="s">
        <v>188</v>
      </c>
      <c r="H60" s="146"/>
      <c r="J60" s="65"/>
      <c r="K60" s="65"/>
      <c r="L60" s="65"/>
      <c r="M60" s="65"/>
    </row>
    <row r="61" spans="1:13" x14ac:dyDescent="0.25">
      <c r="A61" s="144" t="s">
        <v>189</v>
      </c>
      <c r="B61" s="169">
        <v>3.363</v>
      </c>
      <c r="C61" s="167">
        <f>B61*$C$53</f>
        <v>7.7349000000000001E-2</v>
      </c>
      <c r="D61" s="169">
        <v>6.2530000000000001</v>
      </c>
      <c r="E61" s="167">
        <f>D61*$C$53</f>
        <v>0.143819</v>
      </c>
      <c r="H61" s="146"/>
      <c r="J61" s="65"/>
      <c r="K61" s="65"/>
      <c r="L61" s="65"/>
      <c r="M61" s="65"/>
    </row>
    <row r="62" spans="1:13" x14ac:dyDescent="0.25">
      <c r="A62" s="144"/>
      <c r="B62" s="168" t="s">
        <v>190</v>
      </c>
      <c r="C62" s="168" t="s">
        <v>191</v>
      </c>
      <c r="F62" s="170" t="s">
        <v>192</v>
      </c>
      <c r="H62" s="146"/>
      <c r="J62" s="65"/>
      <c r="K62" s="65"/>
      <c r="L62" s="65"/>
      <c r="M62" s="65"/>
    </row>
    <row r="63" spans="1:13" x14ac:dyDescent="0.25">
      <c r="A63" s="144" t="s">
        <v>193</v>
      </c>
      <c r="B63" s="169">
        <v>0</v>
      </c>
      <c r="C63" s="167">
        <f>B63*$C$53</f>
        <v>0</v>
      </c>
      <c r="F63" s="171">
        <v>1</v>
      </c>
      <c r="H63" s="146"/>
      <c r="J63" s="65"/>
      <c r="K63" s="65"/>
      <c r="L63" s="65"/>
      <c r="M63" s="65"/>
    </row>
    <row r="64" spans="1:13" x14ac:dyDescent="0.25">
      <c r="A64" s="144" t="s">
        <v>194</v>
      </c>
      <c r="B64" s="169">
        <f>B63*(1-F63)</f>
        <v>0</v>
      </c>
      <c r="C64" s="167">
        <f>B64*$C$53</f>
        <v>0</v>
      </c>
      <c r="H64" s="146"/>
      <c r="J64" s="65"/>
      <c r="K64" s="65"/>
      <c r="L64" s="65"/>
      <c r="M64" s="65"/>
    </row>
    <row r="65" spans="1:14" x14ac:dyDescent="0.25">
      <c r="A65" s="144"/>
      <c r="B65" s="168" t="s">
        <v>195</v>
      </c>
      <c r="C65" s="168" t="s">
        <v>196</v>
      </c>
      <c r="H65" s="146"/>
      <c r="J65" s="65"/>
      <c r="K65" s="65"/>
      <c r="L65" s="65"/>
      <c r="M65" s="65"/>
    </row>
    <row r="66" spans="1:14" x14ac:dyDescent="0.25">
      <c r="A66" s="144" t="s">
        <v>197</v>
      </c>
      <c r="B66" s="169">
        <v>784.4</v>
      </c>
      <c r="C66" s="167">
        <f>B66*$C$53</f>
        <v>18.0412</v>
      </c>
      <c r="H66" s="146"/>
      <c r="J66" s="65"/>
      <c r="K66" s="65"/>
      <c r="L66" s="65"/>
      <c r="M66" s="65"/>
    </row>
    <row r="67" spans="1:14" ht="14.25" thickBot="1" x14ac:dyDescent="0.3">
      <c r="A67" s="147" t="s">
        <v>194</v>
      </c>
      <c r="B67" s="172">
        <f>B66*(1-F63)</f>
        <v>0</v>
      </c>
      <c r="C67" s="173">
        <f>B67*$C$53</f>
        <v>0</v>
      </c>
      <c r="D67" s="150"/>
      <c r="E67" s="150"/>
      <c r="F67" s="150"/>
      <c r="G67" s="150"/>
      <c r="H67" s="151"/>
      <c r="J67" s="65"/>
      <c r="K67" s="65"/>
      <c r="L67" s="65"/>
      <c r="M67" s="65"/>
    </row>
    <row r="68" spans="1:14" ht="15" x14ac:dyDescent="0.25">
      <c r="A68" s="99"/>
      <c r="J68" s="65"/>
      <c r="K68" s="65"/>
      <c r="L68" s="65"/>
      <c r="M68" s="65"/>
    </row>
    <row r="69" spans="1:14" ht="15.75" thickBot="1" x14ac:dyDescent="0.3">
      <c r="A69" s="99"/>
      <c r="J69" s="65"/>
      <c r="K69" s="65"/>
      <c r="L69" s="65"/>
      <c r="M69" s="65"/>
    </row>
    <row r="70" spans="1:14" x14ac:dyDescent="0.25">
      <c r="A70" s="139" t="s">
        <v>198</v>
      </c>
      <c r="B70" s="140">
        <v>0</v>
      </c>
      <c r="C70" s="141"/>
      <c r="D70" s="142" t="s">
        <v>200</v>
      </c>
      <c r="E70" s="142"/>
      <c r="F70" s="142"/>
      <c r="G70" s="142"/>
      <c r="H70" s="143"/>
      <c r="J70" s="65"/>
      <c r="K70" s="65"/>
      <c r="L70" s="65"/>
      <c r="M70" s="65"/>
    </row>
    <row r="71" spans="1:14" x14ac:dyDescent="0.25">
      <c r="A71" s="144" t="s">
        <v>174</v>
      </c>
      <c r="B71" s="145">
        <v>0</v>
      </c>
      <c r="C71" s="152"/>
      <c r="D71" s="7" t="s">
        <v>201</v>
      </c>
      <c r="E71" s="16"/>
      <c r="F71" s="16"/>
      <c r="G71" s="16"/>
      <c r="H71" s="146"/>
      <c r="J71" s="65"/>
      <c r="K71" s="65"/>
      <c r="L71" s="65"/>
      <c r="M71" s="65"/>
    </row>
    <row r="72" spans="1:14" x14ac:dyDescent="0.25">
      <c r="A72" s="144" t="s">
        <v>176</v>
      </c>
      <c r="B72" s="145">
        <v>0</v>
      </c>
      <c r="C72" s="152"/>
      <c r="D72" s="7" t="s">
        <v>175</v>
      </c>
      <c r="E72" s="16"/>
      <c r="F72" s="16"/>
      <c r="G72" s="16"/>
      <c r="H72" s="146"/>
      <c r="J72" s="65"/>
      <c r="K72" s="65"/>
      <c r="L72" s="65"/>
      <c r="M72" s="65"/>
    </row>
    <row r="73" spans="1:14" ht="14.25" thickBot="1" x14ac:dyDescent="0.3">
      <c r="A73" s="147" t="s">
        <v>199</v>
      </c>
      <c r="B73" s="148">
        <v>0</v>
      </c>
      <c r="C73" s="149"/>
      <c r="D73" s="150"/>
      <c r="E73" s="150"/>
      <c r="F73" s="150"/>
      <c r="G73" s="150"/>
      <c r="H73" s="151"/>
      <c r="J73" s="65"/>
      <c r="K73" s="65"/>
      <c r="L73" s="65"/>
      <c r="M73" s="65"/>
    </row>
    <row r="74" spans="1:14" ht="25.5" x14ac:dyDescent="0.25">
      <c r="A74" s="6" t="s">
        <v>84</v>
      </c>
      <c r="B74" s="6" t="s">
        <v>202</v>
      </c>
      <c r="C74" s="96" t="s">
        <v>72</v>
      </c>
      <c r="D74" s="96" t="s">
        <v>73</v>
      </c>
      <c r="E74" s="6" t="s">
        <v>112</v>
      </c>
      <c r="F74" s="6" t="s">
        <v>197</v>
      </c>
      <c r="H74" s="6" t="s">
        <v>202</v>
      </c>
      <c r="I74" s="6" t="s">
        <v>87</v>
      </c>
      <c r="K74" s="6" t="s">
        <v>202</v>
      </c>
      <c r="L74" s="6" t="s">
        <v>202</v>
      </c>
      <c r="M74" s="6" t="s">
        <v>87</v>
      </c>
      <c r="N74" s="6" t="s">
        <v>87</v>
      </c>
    </row>
    <row r="75" spans="1:14" x14ac:dyDescent="0.25">
      <c r="A75" s="8"/>
      <c r="B75" s="8" t="s">
        <v>10</v>
      </c>
      <c r="C75" s="8" t="s">
        <v>6</v>
      </c>
      <c r="D75" s="8" t="s">
        <v>6</v>
      </c>
      <c r="E75" s="8" t="s">
        <v>30</v>
      </c>
      <c r="F75" s="8" t="s">
        <v>1</v>
      </c>
      <c r="H75" s="8" t="s">
        <v>1</v>
      </c>
      <c r="I75" s="8" t="s">
        <v>1</v>
      </c>
      <c r="K75" s="8" t="s">
        <v>1</v>
      </c>
      <c r="L75" s="8" t="s">
        <v>1</v>
      </c>
      <c r="M75" s="8" t="s">
        <v>1</v>
      </c>
      <c r="N75" s="8" t="s">
        <v>1</v>
      </c>
    </row>
    <row r="76" spans="1:14" x14ac:dyDescent="0.25">
      <c r="A76" s="8">
        <v>2022</v>
      </c>
      <c r="B76" s="23">
        <f>C58</f>
        <v>1.7222399999999998</v>
      </c>
      <c r="C76" s="23">
        <f>C61</f>
        <v>7.7349000000000001E-2</v>
      </c>
      <c r="D76" s="23">
        <f>E61</f>
        <v>0.143819</v>
      </c>
      <c r="E76" s="23">
        <f>C64*12</f>
        <v>0</v>
      </c>
      <c r="F76" s="23">
        <f>C67*12</f>
        <v>0</v>
      </c>
      <c r="H76" s="24">
        <f t="shared" ref="H76:H104" si="0">B76*$C$8/100*$C$38</f>
        <v>2738.3615999999993</v>
      </c>
      <c r="I76" s="24">
        <f>(C76*$C$25+D76*$C$26)*$C$18*$C$38+E76*$C$24+F76</f>
        <v>466.99200000000002</v>
      </c>
      <c r="J76" s="16"/>
      <c r="K76" s="24">
        <f t="shared" ref="K76:K104" si="1">B76*$C$8/100*$H$38</f>
        <v>4107.5423999999994</v>
      </c>
      <c r="L76" s="24">
        <f t="shared" ref="L76:L104" si="2">B76*$C$8/100*$I$38</f>
        <v>1369.1807999999996</v>
      </c>
      <c r="M76" s="24">
        <f>(C76*$C$25+D76*$C$26)*$C$18*$H$38+E76*$C$24+F76</f>
        <v>700.48800000000006</v>
      </c>
      <c r="N76" s="24">
        <f>(C76*$C$25+D76*$C$26)*$C$18*$I$38+E76*$C$24+F76</f>
        <v>233.49600000000001</v>
      </c>
    </row>
    <row r="77" spans="1:14" x14ac:dyDescent="0.25">
      <c r="A77" s="8">
        <v>2023</v>
      </c>
      <c r="B77" s="23">
        <f>B76*(1+$B$70)</f>
        <v>1.7222399999999998</v>
      </c>
      <c r="C77" s="23">
        <f>C76*(1+$B$71)</f>
        <v>7.7349000000000001E-2</v>
      </c>
      <c r="D77" s="23">
        <f>D76*(1+$B$71)</f>
        <v>0.143819</v>
      </c>
      <c r="E77" s="23">
        <f t="shared" ref="E77:E104" si="3">E76*(1+$B$76)</f>
        <v>0</v>
      </c>
      <c r="F77" s="23">
        <f t="shared" ref="F77:F104" si="4">F76*(1+$B$77)</f>
        <v>0</v>
      </c>
      <c r="H77" s="24">
        <f t="shared" si="0"/>
        <v>2738.3615999999993</v>
      </c>
      <c r="I77" s="24">
        <f t="shared" ref="I77:I104" si="5">(C77*$C$25+D77*$C$26)*$C$18*$C$38+E77*$C$24+F77</f>
        <v>466.99200000000002</v>
      </c>
      <c r="K77" s="24">
        <f t="shared" si="1"/>
        <v>4107.5423999999994</v>
      </c>
      <c r="L77" s="24">
        <f t="shared" si="2"/>
        <v>1369.1807999999996</v>
      </c>
      <c r="M77" s="24">
        <f t="shared" ref="M77:M104" si="6">(C77*$C$25+D77*$C$26)*$C$18*$H$38+E77*$C$24+F77</f>
        <v>700.48800000000006</v>
      </c>
      <c r="N77" s="24">
        <f t="shared" ref="N77:N104" si="7">(C77*$C$25+D77*$C$26)*$C$18*$I$38+E77*$C$24+F77</f>
        <v>233.49600000000001</v>
      </c>
    </row>
    <row r="78" spans="1:14" x14ac:dyDescent="0.25">
      <c r="A78" s="8">
        <v>2024</v>
      </c>
      <c r="B78" s="23">
        <f t="shared" ref="B78:B104" si="8">B77*(1+$B$70)</f>
        <v>1.7222399999999998</v>
      </c>
      <c r="C78" s="23">
        <f t="shared" ref="C78:C104" si="9">C77*(1+$B$71)</f>
        <v>7.7349000000000001E-2</v>
      </c>
      <c r="D78" s="23">
        <f t="shared" ref="D78:D104" si="10">D77*(1+$B$71)</f>
        <v>0.143819</v>
      </c>
      <c r="E78" s="23">
        <f t="shared" si="3"/>
        <v>0</v>
      </c>
      <c r="F78" s="23">
        <f t="shared" si="4"/>
        <v>0</v>
      </c>
      <c r="H78" s="24">
        <f t="shared" si="0"/>
        <v>2738.3615999999993</v>
      </c>
      <c r="I78" s="24">
        <f t="shared" si="5"/>
        <v>466.99200000000002</v>
      </c>
      <c r="K78" s="24">
        <f t="shared" si="1"/>
        <v>4107.5423999999994</v>
      </c>
      <c r="L78" s="24">
        <f t="shared" si="2"/>
        <v>1369.1807999999996</v>
      </c>
      <c r="M78" s="24">
        <f t="shared" si="6"/>
        <v>700.48800000000006</v>
      </c>
      <c r="N78" s="24">
        <f t="shared" si="7"/>
        <v>233.49600000000001</v>
      </c>
    </row>
    <row r="79" spans="1:14" x14ac:dyDescent="0.25">
      <c r="A79" s="8">
        <v>2025</v>
      </c>
      <c r="B79" s="23">
        <f t="shared" si="8"/>
        <v>1.7222399999999998</v>
      </c>
      <c r="C79" s="23">
        <f t="shared" si="9"/>
        <v>7.7349000000000001E-2</v>
      </c>
      <c r="D79" s="23">
        <f t="shared" si="10"/>
        <v>0.143819</v>
      </c>
      <c r="E79" s="23">
        <f t="shared" si="3"/>
        <v>0</v>
      </c>
      <c r="F79" s="23">
        <f t="shared" si="4"/>
        <v>0</v>
      </c>
      <c r="H79" s="24">
        <f t="shared" si="0"/>
        <v>2738.3615999999993</v>
      </c>
      <c r="I79" s="24">
        <f t="shared" si="5"/>
        <v>466.99200000000002</v>
      </c>
      <c r="K79" s="24">
        <f t="shared" si="1"/>
        <v>4107.5423999999994</v>
      </c>
      <c r="L79" s="24">
        <f t="shared" si="2"/>
        <v>1369.1807999999996</v>
      </c>
      <c r="M79" s="24">
        <f t="shared" si="6"/>
        <v>700.48800000000006</v>
      </c>
      <c r="N79" s="24">
        <f t="shared" si="7"/>
        <v>233.49600000000001</v>
      </c>
    </row>
    <row r="80" spans="1:14" x14ac:dyDescent="0.25">
      <c r="A80" s="8">
        <v>2026</v>
      </c>
      <c r="B80" s="23">
        <f t="shared" si="8"/>
        <v>1.7222399999999998</v>
      </c>
      <c r="C80" s="23">
        <f t="shared" si="9"/>
        <v>7.7349000000000001E-2</v>
      </c>
      <c r="D80" s="23">
        <f t="shared" si="10"/>
        <v>0.143819</v>
      </c>
      <c r="E80" s="23">
        <f t="shared" si="3"/>
        <v>0</v>
      </c>
      <c r="F80" s="23">
        <f t="shared" si="4"/>
        <v>0</v>
      </c>
      <c r="H80" s="24">
        <f t="shared" si="0"/>
        <v>2738.3615999999993</v>
      </c>
      <c r="I80" s="24">
        <f t="shared" si="5"/>
        <v>466.99200000000002</v>
      </c>
      <c r="K80" s="24">
        <f t="shared" si="1"/>
        <v>4107.5423999999994</v>
      </c>
      <c r="L80" s="24">
        <f t="shared" si="2"/>
        <v>1369.1807999999996</v>
      </c>
      <c r="M80" s="24">
        <f t="shared" si="6"/>
        <v>700.48800000000006</v>
      </c>
      <c r="N80" s="24">
        <f t="shared" si="7"/>
        <v>233.49600000000001</v>
      </c>
    </row>
    <row r="81" spans="1:14" x14ac:dyDescent="0.25">
      <c r="A81" s="8">
        <v>2027</v>
      </c>
      <c r="B81" s="23">
        <f t="shared" si="8"/>
        <v>1.7222399999999998</v>
      </c>
      <c r="C81" s="23">
        <f t="shared" si="9"/>
        <v>7.7349000000000001E-2</v>
      </c>
      <c r="D81" s="23">
        <f t="shared" si="10"/>
        <v>0.143819</v>
      </c>
      <c r="E81" s="23">
        <f t="shared" si="3"/>
        <v>0</v>
      </c>
      <c r="F81" s="23">
        <f t="shared" si="4"/>
        <v>0</v>
      </c>
      <c r="H81" s="24">
        <f t="shared" si="0"/>
        <v>2738.3615999999993</v>
      </c>
      <c r="I81" s="24">
        <f t="shared" si="5"/>
        <v>466.99200000000002</v>
      </c>
      <c r="K81" s="24">
        <f t="shared" si="1"/>
        <v>4107.5423999999994</v>
      </c>
      <c r="L81" s="24">
        <f t="shared" si="2"/>
        <v>1369.1807999999996</v>
      </c>
      <c r="M81" s="24">
        <f t="shared" si="6"/>
        <v>700.48800000000006</v>
      </c>
      <c r="N81" s="24">
        <f t="shared" si="7"/>
        <v>233.49600000000001</v>
      </c>
    </row>
    <row r="82" spans="1:14" x14ac:dyDescent="0.25">
      <c r="A82" s="8">
        <v>2028</v>
      </c>
      <c r="B82" s="23">
        <f t="shared" si="8"/>
        <v>1.7222399999999998</v>
      </c>
      <c r="C82" s="23">
        <f t="shared" si="9"/>
        <v>7.7349000000000001E-2</v>
      </c>
      <c r="D82" s="23">
        <f t="shared" si="10"/>
        <v>0.143819</v>
      </c>
      <c r="E82" s="23">
        <f t="shared" si="3"/>
        <v>0</v>
      </c>
      <c r="F82" s="23">
        <f t="shared" si="4"/>
        <v>0</v>
      </c>
      <c r="H82" s="24">
        <f t="shared" si="0"/>
        <v>2738.3615999999993</v>
      </c>
      <c r="I82" s="24">
        <f t="shared" si="5"/>
        <v>466.99200000000002</v>
      </c>
      <c r="K82" s="24">
        <f t="shared" si="1"/>
        <v>4107.5423999999994</v>
      </c>
      <c r="L82" s="24">
        <f t="shared" si="2"/>
        <v>1369.1807999999996</v>
      </c>
      <c r="M82" s="24">
        <f t="shared" si="6"/>
        <v>700.48800000000006</v>
      </c>
      <c r="N82" s="24">
        <f t="shared" si="7"/>
        <v>233.49600000000001</v>
      </c>
    </row>
    <row r="83" spans="1:14" x14ac:dyDescent="0.25">
      <c r="A83" s="8">
        <v>2029</v>
      </c>
      <c r="B83" s="23">
        <f t="shared" si="8"/>
        <v>1.7222399999999998</v>
      </c>
      <c r="C83" s="23">
        <f t="shared" si="9"/>
        <v>7.7349000000000001E-2</v>
      </c>
      <c r="D83" s="23">
        <f t="shared" si="10"/>
        <v>0.143819</v>
      </c>
      <c r="E83" s="23">
        <f t="shared" si="3"/>
        <v>0</v>
      </c>
      <c r="F83" s="23">
        <f t="shared" si="4"/>
        <v>0</v>
      </c>
      <c r="H83" s="24">
        <f t="shared" si="0"/>
        <v>2738.3615999999993</v>
      </c>
      <c r="I83" s="24">
        <f t="shared" si="5"/>
        <v>466.99200000000002</v>
      </c>
      <c r="K83" s="24">
        <f t="shared" si="1"/>
        <v>4107.5423999999994</v>
      </c>
      <c r="L83" s="24">
        <f t="shared" si="2"/>
        <v>1369.1807999999996</v>
      </c>
      <c r="M83" s="24">
        <f t="shared" si="6"/>
        <v>700.48800000000006</v>
      </c>
      <c r="N83" s="24">
        <f t="shared" si="7"/>
        <v>233.49600000000001</v>
      </c>
    </row>
    <row r="84" spans="1:14" x14ac:dyDescent="0.25">
      <c r="A84" s="8">
        <v>2030</v>
      </c>
      <c r="B84" s="23">
        <f t="shared" si="8"/>
        <v>1.7222399999999998</v>
      </c>
      <c r="C84" s="23">
        <f t="shared" si="9"/>
        <v>7.7349000000000001E-2</v>
      </c>
      <c r="D84" s="23">
        <f t="shared" si="10"/>
        <v>0.143819</v>
      </c>
      <c r="E84" s="23">
        <f t="shared" si="3"/>
        <v>0</v>
      </c>
      <c r="F84" s="23">
        <f t="shared" si="4"/>
        <v>0</v>
      </c>
      <c r="H84" s="24">
        <f t="shared" si="0"/>
        <v>2738.3615999999993</v>
      </c>
      <c r="I84" s="24">
        <f t="shared" si="5"/>
        <v>466.99200000000002</v>
      </c>
      <c r="K84" s="24">
        <f t="shared" si="1"/>
        <v>4107.5423999999994</v>
      </c>
      <c r="L84" s="24">
        <f t="shared" si="2"/>
        <v>1369.1807999999996</v>
      </c>
      <c r="M84" s="24">
        <f t="shared" si="6"/>
        <v>700.48800000000006</v>
      </c>
      <c r="N84" s="24">
        <f t="shared" si="7"/>
        <v>233.49600000000001</v>
      </c>
    </row>
    <row r="85" spans="1:14" x14ac:dyDescent="0.25">
      <c r="A85" s="8">
        <v>2031</v>
      </c>
      <c r="B85" s="23">
        <f t="shared" si="8"/>
        <v>1.7222399999999998</v>
      </c>
      <c r="C85" s="23">
        <f t="shared" si="9"/>
        <v>7.7349000000000001E-2</v>
      </c>
      <c r="D85" s="23">
        <f t="shared" si="10"/>
        <v>0.143819</v>
      </c>
      <c r="E85" s="23">
        <f t="shared" si="3"/>
        <v>0</v>
      </c>
      <c r="F85" s="23">
        <f t="shared" si="4"/>
        <v>0</v>
      </c>
      <c r="H85" s="24">
        <f t="shared" si="0"/>
        <v>2738.3615999999993</v>
      </c>
      <c r="I85" s="24">
        <f t="shared" si="5"/>
        <v>466.99200000000002</v>
      </c>
      <c r="K85" s="24">
        <f t="shared" si="1"/>
        <v>4107.5423999999994</v>
      </c>
      <c r="L85" s="24">
        <f t="shared" si="2"/>
        <v>1369.1807999999996</v>
      </c>
      <c r="M85" s="24">
        <f t="shared" si="6"/>
        <v>700.48800000000006</v>
      </c>
      <c r="N85" s="24">
        <f t="shared" si="7"/>
        <v>233.49600000000001</v>
      </c>
    </row>
    <row r="86" spans="1:14" x14ac:dyDescent="0.25">
      <c r="A86" s="8">
        <v>2032</v>
      </c>
      <c r="B86" s="23">
        <f t="shared" si="8"/>
        <v>1.7222399999999998</v>
      </c>
      <c r="C86" s="23">
        <f t="shared" si="9"/>
        <v>7.7349000000000001E-2</v>
      </c>
      <c r="D86" s="23">
        <f t="shared" si="10"/>
        <v>0.143819</v>
      </c>
      <c r="E86" s="23">
        <f t="shared" si="3"/>
        <v>0</v>
      </c>
      <c r="F86" s="23">
        <f t="shared" si="4"/>
        <v>0</v>
      </c>
      <c r="H86" s="24">
        <f t="shared" si="0"/>
        <v>2738.3615999999993</v>
      </c>
      <c r="I86" s="24">
        <f t="shared" si="5"/>
        <v>466.99200000000002</v>
      </c>
      <c r="K86" s="24">
        <f t="shared" si="1"/>
        <v>4107.5423999999994</v>
      </c>
      <c r="L86" s="24">
        <f t="shared" si="2"/>
        <v>1369.1807999999996</v>
      </c>
      <c r="M86" s="24">
        <f t="shared" si="6"/>
        <v>700.48800000000006</v>
      </c>
      <c r="N86" s="24">
        <f t="shared" si="7"/>
        <v>233.49600000000001</v>
      </c>
    </row>
    <row r="87" spans="1:14" x14ac:dyDescent="0.25">
      <c r="A87" s="8">
        <v>2033</v>
      </c>
      <c r="B87" s="23">
        <f t="shared" si="8"/>
        <v>1.7222399999999998</v>
      </c>
      <c r="C87" s="23">
        <f t="shared" si="9"/>
        <v>7.7349000000000001E-2</v>
      </c>
      <c r="D87" s="23">
        <f t="shared" si="10"/>
        <v>0.143819</v>
      </c>
      <c r="E87" s="23">
        <f t="shared" si="3"/>
        <v>0</v>
      </c>
      <c r="F87" s="23">
        <f t="shared" si="4"/>
        <v>0</v>
      </c>
      <c r="H87" s="24">
        <f t="shared" si="0"/>
        <v>2738.3615999999993</v>
      </c>
      <c r="I87" s="24">
        <f t="shared" si="5"/>
        <v>466.99200000000002</v>
      </c>
      <c r="K87" s="24">
        <f t="shared" si="1"/>
        <v>4107.5423999999994</v>
      </c>
      <c r="L87" s="24">
        <f t="shared" si="2"/>
        <v>1369.1807999999996</v>
      </c>
      <c r="M87" s="24">
        <f t="shared" si="6"/>
        <v>700.48800000000006</v>
      </c>
      <c r="N87" s="24">
        <f t="shared" si="7"/>
        <v>233.49600000000001</v>
      </c>
    </row>
    <row r="88" spans="1:14" x14ac:dyDescent="0.25">
      <c r="A88" s="8">
        <v>2034</v>
      </c>
      <c r="B88" s="23">
        <f t="shared" si="8"/>
        <v>1.7222399999999998</v>
      </c>
      <c r="C88" s="23">
        <f t="shared" si="9"/>
        <v>7.7349000000000001E-2</v>
      </c>
      <c r="D88" s="23">
        <f t="shared" si="10"/>
        <v>0.143819</v>
      </c>
      <c r="E88" s="23">
        <f t="shared" si="3"/>
        <v>0</v>
      </c>
      <c r="F88" s="23">
        <f t="shared" si="4"/>
        <v>0</v>
      </c>
      <c r="H88" s="24">
        <f t="shared" si="0"/>
        <v>2738.3615999999993</v>
      </c>
      <c r="I88" s="24">
        <f t="shared" si="5"/>
        <v>466.99200000000002</v>
      </c>
      <c r="K88" s="24">
        <f t="shared" si="1"/>
        <v>4107.5423999999994</v>
      </c>
      <c r="L88" s="24">
        <f t="shared" si="2"/>
        <v>1369.1807999999996</v>
      </c>
      <c r="M88" s="24">
        <f t="shared" si="6"/>
        <v>700.48800000000006</v>
      </c>
      <c r="N88" s="24">
        <f t="shared" si="7"/>
        <v>233.49600000000001</v>
      </c>
    </row>
    <row r="89" spans="1:14" x14ac:dyDescent="0.25">
      <c r="A89" s="8">
        <v>2035</v>
      </c>
      <c r="B89" s="23">
        <f t="shared" si="8"/>
        <v>1.7222399999999998</v>
      </c>
      <c r="C89" s="23">
        <f t="shared" si="9"/>
        <v>7.7349000000000001E-2</v>
      </c>
      <c r="D89" s="23">
        <f t="shared" si="10"/>
        <v>0.143819</v>
      </c>
      <c r="E89" s="23">
        <f t="shared" si="3"/>
        <v>0</v>
      </c>
      <c r="F89" s="23">
        <f t="shared" si="4"/>
        <v>0</v>
      </c>
      <c r="H89" s="24">
        <f t="shared" si="0"/>
        <v>2738.3615999999993</v>
      </c>
      <c r="I89" s="24">
        <f t="shared" si="5"/>
        <v>466.99200000000002</v>
      </c>
      <c r="K89" s="24">
        <f t="shared" si="1"/>
        <v>4107.5423999999994</v>
      </c>
      <c r="L89" s="24">
        <f t="shared" si="2"/>
        <v>1369.1807999999996</v>
      </c>
      <c r="M89" s="24">
        <f t="shared" si="6"/>
        <v>700.48800000000006</v>
      </c>
      <c r="N89" s="24">
        <f t="shared" si="7"/>
        <v>233.49600000000001</v>
      </c>
    </row>
    <row r="90" spans="1:14" x14ac:dyDescent="0.25">
      <c r="A90" s="8">
        <v>2036</v>
      </c>
      <c r="B90" s="23">
        <f t="shared" si="8"/>
        <v>1.7222399999999998</v>
      </c>
      <c r="C90" s="23">
        <f t="shared" si="9"/>
        <v>7.7349000000000001E-2</v>
      </c>
      <c r="D90" s="23">
        <f t="shared" si="10"/>
        <v>0.143819</v>
      </c>
      <c r="E90" s="23">
        <f t="shared" si="3"/>
        <v>0</v>
      </c>
      <c r="F90" s="23">
        <f t="shared" si="4"/>
        <v>0</v>
      </c>
      <c r="H90" s="24">
        <f t="shared" si="0"/>
        <v>2738.3615999999993</v>
      </c>
      <c r="I90" s="24">
        <f t="shared" si="5"/>
        <v>466.99200000000002</v>
      </c>
      <c r="K90" s="24">
        <f t="shared" si="1"/>
        <v>4107.5423999999994</v>
      </c>
      <c r="L90" s="24">
        <f t="shared" si="2"/>
        <v>1369.1807999999996</v>
      </c>
      <c r="M90" s="24">
        <f t="shared" si="6"/>
        <v>700.48800000000006</v>
      </c>
      <c r="N90" s="24">
        <f t="shared" si="7"/>
        <v>233.49600000000001</v>
      </c>
    </row>
    <row r="91" spans="1:14" x14ac:dyDescent="0.25">
      <c r="A91" s="8">
        <v>2037</v>
      </c>
      <c r="B91" s="23">
        <f t="shared" si="8"/>
        <v>1.7222399999999998</v>
      </c>
      <c r="C91" s="23">
        <f t="shared" si="9"/>
        <v>7.7349000000000001E-2</v>
      </c>
      <c r="D91" s="23">
        <f t="shared" si="10"/>
        <v>0.143819</v>
      </c>
      <c r="E91" s="23">
        <f t="shared" si="3"/>
        <v>0</v>
      </c>
      <c r="F91" s="23">
        <f t="shared" si="4"/>
        <v>0</v>
      </c>
      <c r="H91" s="24">
        <f t="shared" si="0"/>
        <v>2738.3615999999993</v>
      </c>
      <c r="I91" s="24">
        <f t="shared" si="5"/>
        <v>466.99200000000002</v>
      </c>
      <c r="K91" s="24">
        <f t="shared" si="1"/>
        <v>4107.5423999999994</v>
      </c>
      <c r="L91" s="24">
        <f t="shared" si="2"/>
        <v>1369.1807999999996</v>
      </c>
      <c r="M91" s="24">
        <f t="shared" si="6"/>
        <v>700.48800000000006</v>
      </c>
      <c r="N91" s="24">
        <f t="shared" si="7"/>
        <v>233.49600000000001</v>
      </c>
    </row>
    <row r="92" spans="1:14" x14ac:dyDescent="0.25">
      <c r="A92" s="8">
        <v>2038</v>
      </c>
      <c r="B92" s="23">
        <f t="shared" si="8"/>
        <v>1.7222399999999998</v>
      </c>
      <c r="C92" s="23">
        <f t="shared" si="9"/>
        <v>7.7349000000000001E-2</v>
      </c>
      <c r="D92" s="23">
        <f t="shared" si="10"/>
        <v>0.143819</v>
      </c>
      <c r="E92" s="23">
        <f t="shared" si="3"/>
        <v>0</v>
      </c>
      <c r="F92" s="23">
        <f t="shared" si="4"/>
        <v>0</v>
      </c>
      <c r="H92" s="24">
        <f t="shared" si="0"/>
        <v>2738.3615999999993</v>
      </c>
      <c r="I92" s="24">
        <f t="shared" si="5"/>
        <v>466.99200000000002</v>
      </c>
      <c r="J92" s="138"/>
      <c r="K92" s="24">
        <f t="shared" si="1"/>
        <v>4107.5423999999994</v>
      </c>
      <c r="L92" s="24">
        <f t="shared" si="2"/>
        <v>1369.1807999999996</v>
      </c>
      <c r="M92" s="24">
        <f t="shared" si="6"/>
        <v>700.48800000000006</v>
      </c>
      <c r="N92" s="24">
        <f t="shared" si="7"/>
        <v>233.49600000000001</v>
      </c>
    </row>
    <row r="93" spans="1:14" x14ac:dyDescent="0.25">
      <c r="A93" s="8">
        <v>2039</v>
      </c>
      <c r="B93" s="23">
        <f t="shared" si="8"/>
        <v>1.7222399999999998</v>
      </c>
      <c r="C93" s="23">
        <f t="shared" si="9"/>
        <v>7.7349000000000001E-2</v>
      </c>
      <c r="D93" s="23">
        <f t="shared" si="10"/>
        <v>0.143819</v>
      </c>
      <c r="E93" s="23">
        <f t="shared" si="3"/>
        <v>0</v>
      </c>
      <c r="F93" s="23">
        <f t="shared" si="4"/>
        <v>0</v>
      </c>
      <c r="H93" s="24">
        <f t="shared" si="0"/>
        <v>2738.3615999999993</v>
      </c>
      <c r="I93" s="24">
        <f t="shared" si="5"/>
        <v>466.99200000000002</v>
      </c>
      <c r="K93" s="24">
        <f t="shared" si="1"/>
        <v>4107.5423999999994</v>
      </c>
      <c r="L93" s="24">
        <f t="shared" si="2"/>
        <v>1369.1807999999996</v>
      </c>
      <c r="M93" s="24">
        <f t="shared" si="6"/>
        <v>700.48800000000006</v>
      </c>
      <c r="N93" s="24">
        <f t="shared" si="7"/>
        <v>233.49600000000001</v>
      </c>
    </row>
    <row r="94" spans="1:14" x14ac:dyDescent="0.25">
      <c r="A94" s="8">
        <v>2040</v>
      </c>
      <c r="B94" s="23">
        <f t="shared" si="8"/>
        <v>1.7222399999999998</v>
      </c>
      <c r="C94" s="23">
        <f t="shared" si="9"/>
        <v>7.7349000000000001E-2</v>
      </c>
      <c r="D94" s="23">
        <f t="shared" si="10"/>
        <v>0.143819</v>
      </c>
      <c r="E94" s="23">
        <f t="shared" si="3"/>
        <v>0</v>
      </c>
      <c r="F94" s="23">
        <f t="shared" si="4"/>
        <v>0</v>
      </c>
      <c r="H94" s="24">
        <f t="shared" si="0"/>
        <v>2738.3615999999993</v>
      </c>
      <c r="I94" s="24">
        <f t="shared" si="5"/>
        <v>466.99200000000002</v>
      </c>
      <c r="K94" s="24">
        <f t="shared" si="1"/>
        <v>4107.5423999999994</v>
      </c>
      <c r="L94" s="24">
        <f t="shared" si="2"/>
        <v>1369.1807999999996</v>
      </c>
      <c r="M94" s="24">
        <f t="shared" si="6"/>
        <v>700.48800000000006</v>
      </c>
      <c r="N94" s="24">
        <f t="shared" si="7"/>
        <v>233.49600000000001</v>
      </c>
    </row>
    <row r="95" spans="1:14" x14ac:dyDescent="0.25">
      <c r="A95" s="8">
        <v>2041</v>
      </c>
      <c r="B95" s="23">
        <f t="shared" si="8"/>
        <v>1.7222399999999998</v>
      </c>
      <c r="C95" s="23">
        <f t="shared" si="9"/>
        <v>7.7349000000000001E-2</v>
      </c>
      <c r="D95" s="23">
        <f t="shared" si="10"/>
        <v>0.143819</v>
      </c>
      <c r="E95" s="23">
        <f t="shared" si="3"/>
        <v>0</v>
      </c>
      <c r="F95" s="23">
        <f t="shared" si="4"/>
        <v>0</v>
      </c>
      <c r="H95" s="24">
        <f t="shared" si="0"/>
        <v>2738.3615999999993</v>
      </c>
      <c r="I95" s="24">
        <f t="shared" si="5"/>
        <v>466.99200000000002</v>
      </c>
      <c r="K95" s="24">
        <f t="shared" si="1"/>
        <v>4107.5423999999994</v>
      </c>
      <c r="L95" s="24">
        <f t="shared" si="2"/>
        <v>1369.1807999999996</v>
      </c>
      <c r="M95" s="24">
        <f t="shared" si="6"/>
        <v>700.48800000000006</v>
      </c>
      <c r="N95" s="24">
        <f t="shared" si="7"/>
        <v>233.49600000000001</v>
      </c>
    </row>
    <row r="96" spans="1:14" x14ac:dyDescent="0.25">
      <c r="A96" s="8">
        <v>2042</v>
      </c>
      <c r="B96" s="23">
        <f t="shared" si="8"/>
        <v>1.7222399999999998</v>
      </c>
      <c r="C96" s="23">
        <f t="shared" si="9"/>
        <v>7.7349000000000001E-2</v>
      </c>
      <c r="D96" s="23">
        <f t="shared" si="10"/>
        <v>0.143819</v>
      </c>
      <c r="E96" s="23">
        <f t="shared" si="3"/>
        <v>0</v>
      </c>
      <c r="F96" s="23">
        <f t="shared" si="4"/>
        <v>0</v>
      </c>
      <c r="H96" s="24">
        <f t="shared" si="0"/>
        <v>2738.3615999999993</v>
      </c>
      <c r="I96" s="24">
        <f t="shared" si="5"/>
        <v>466.99200000000002</v>
      </c>
      <c r="K96" s="24">
        <f t="shared" si="1"/>
        <v>4107.5423999999994</v>
      </c>
      <c r="L96" s="24">
        <f t="shared" si="2"/>
        <v>1369.1807999999996</v>
      </c>
      <c r="M96" s="24">
        <f t="shared" si="6"/>
        <v>700.48800000000006</v>
      </c>
      <c r="N96" s="24">
        <f t="shared" si="7"/>
        <v>233.49600000000001</v>
      </c>
    </row>
    <row r="97" spans="1:14" x14ac:dyDescent="0.25">
      <c r="A97" s="8">
        <v>2043</v>
      </c>
      <c r="B97" s="23">
        <f t="shared" si="8"/>
        <v>1.7222399999999998</v>
      </c>
      <c r="C97" s="23">
        <f t="shared" si="9"/>
        <v>7.7349000000000001E-2</v>
      </c>
      <c r="D97" s="23">
        <f t="shared" si="10"/>
        <v>0.143819</v>
      </c>
      <c r="E97" s="23">
        <f t="shared" si="3"/>
        <v>0</v>
      </c>
      <c r="F97" s="23">
        <f t="shared" si="4"/>
        <v>0</v>
      </c>
      <c r="H97" s="24">
        <f t="shared" si="0"/>
        <v>2738.3615999999993</v>
      </c>
      <c r="I97" s="24">
        <f t="shared" si="5"/>
        <v>466.99200000000002</v>
      </c>
      <c r="K97" s="24">
        <f t="shared" si="1"/>
        <v>4107.5423999999994</v>
      </c>
      <c r="L97" s="24">
        <f t="shared" si="2"/>
        <v>1369.1807999999996</v>
      </c>
      <c r="M97" s="24">
        <f t="shared" si="6"/>
        <v>700.48800000000006</v>
      </c>
      <c r="N97" s="24">
        <f t="shared" si="7"/>
        <v>233.49600000000001</v>
      </c>
    </row>
    <row r="98" spans="1:14" x14ac:dyDescent="0.25">
      <c r="A98" s="8">
        <v>2044</v>
      </c>
      <c r="B98" s="23">
        <f t="shared" si="8"/>
        <v>1.7222399999999998</v>
      </c>
      <c r="C98" s="23">
        <f t="shared" si="9"/>
        <v>7.7349000000000001E-2</v>
      </c>
      <c r="D98" s="23">
        <f t="shared" si="10"/>
        <v>0.143819</v>
      </c>
      <c r="E98" s="23">
        <f t="shared" si="3"/>
        <v>0</v>
      </c>
      <c r="F98" s="23">
        <f t="shared" si="4"/>
        <v>0</v>
      </c>
      <c r="H98" s="24">
        <f t="shared" si="0"/>
        <v>2738.3615999999993</v>
      </c>
      <c r="I98" s="24">
        <f t="shared" si="5"/>
        <v>466.99200000000002</v>
      </c>
      <c r="K98" s="24">
        <f t="shared" si="1"/>
        <v>4107.5423999999994</v>
      </c>
      <c r="L98" s="24">
        <f t="shared" si="2"/>
        <v>1369.1807999999996</v>
      </c>
      <c r="M98" s="24">
        <f t="shared" si="6"/>
        <v>700.48800000000006</v>
      </c>
      <c r="N98" s="24">
        <f t="shared" si="7"/>
        <v>233.49600000000001</v>
      </c>
    </row>
    <row r="99" spans="1:14" x14ac:dyDescent="0.25">
      <c r="A99" s="8">
        <v>2045</v>
      </c>
      <c r="B99" s="23">
        <f t="shared" si="8"/>
        <v>1.7222399999999998</v>
      </c>
      <c r="C99" s="23">
        <f t="shared" si="9"/>
        <v>7.7349000000000001E-2</v>
      </c>
      <c r="D99" s="23">
        <f t="shared" si="10"/>
        <v>0.143819</v>
      </c>
      <c r="E99" s="23">
        <f t="shared" si="3"/>
        <v>0</v>
      </c>
      <c r="F99" s="23">
        <f t="shared" si="4"/>
        <v>0</v>
      </c>
      <c r="H99" s="24">
        <f t="shared" si="0"/>
        <v>2738.3615999999993</v>
      </c>
      <c r="I99" s="24">
        <f t="shared" si="5"/>
        <v>466.99200000000002</v>
      </c>
      <c r="K99" s="24">
        <f t="shared" si="1"/>
        <v>4107.5423999999994</v>
      </c>
      <c r="L99" s="24">
        <f t="shared" si="2"/>
        <v>1369.1807999999996</v>
      </c>
      <c r="M99" s="24">
        <f t="shared" si="6"/>
        <v>700.48800000000006</v>
      </c>
      <c r="N99" s="24">
        <f t="shared" si="7"/>
        <v>233.49600000000001</v>
      </c>
    </row>
    <row r="100" spans="1:14" x14ac:dyDescent="0.25">
      <c r="A100" s="8">
        <v>2046</v>
      </c>
      <c r="B100" s="23">
        <f t="shared" si="8"/>
        <v>1.7222399999999998</v>
      </c>
      <c r="C100" s="23">
        <f t="shared" si="9"/>
        <v>7.7349000000000001E-2</v>
      </c>
      <c r="D100" s="23">
        <f t="shared" si="10"/>
        <v>0.143819</v>
      </c>
      <c r="E100" s="23">
        <f t="shared" si="3"/>
        <v>0</v>
      </c>
      <c r="F100" s="23">
        <f t="shared" si="4"/>
        <v>0</v>
      </c>
      <c r="H100" s="24">
        <f t="shared" si="0"/>
        <v>2738.3615999999993</v>
      </c>
      <c r="I100" s="24">
        <f t="shared" si="5"/>
        <v>466.99200000000002</v>
      </c>
      <c r="K100" s="24">
        <f t="shared" si="1"/>
        <v>4107.5423999999994</v>
      </c>
      <c r="L100" s="24">
        <f t="shared" si="2"/>
        <v>1369.1807999999996</v>
      </c>
      <c r="M100" s="24">
        <f t="shared" si="6"/>
        <v>700.48800000000006</v>
      </c>
      <c r="N100" s="24">
        <f t="shared" si="7"/>
        <v>233.49600000000001</v>
      </c>
    </row>
    <row r="101" spans="1:14" x14ac:dyDescent="0.25">
      <c r="A101" s="8">
        <v>2047</v>
      </c>
      <c r="B101" s="23">
        <f t="shared" si="8"/>
        <v>1.7222399999999998</v>
      </c>
      <c r="C101" s="23">
        <f t="shared" si="9"/>
        <v>7.7349000000000001E-2</v>
      </c>
      <c r="D101" s="23">
        <f t="shared" si="10"/>
        <v>0.143819</v>
      </c>
      <c r="E101" s="23">
        <f t="shared" si="3"/>
        <v>0</v>
      </c>
      <c r="F101" s="23">
        <f t="shared" si="4"/>
        <v>0</v>
      </c>
      <c r="H101" s="24">
        <f t="shared" si="0"/>
        <v>2738.3615999999993</v>
      </c>
      <c r="I101" s="24">
        <f t="shared" si="5"/>
        <v>466.99200000000002</v>
      </c>
      <c r="K101" s="24">
        <f t="shared" si="1"/>
        <v>4107.5423999999994</v>
      </c>
      <c r="L101" s="24">
        <f t="shared" si="2"/>
        <v>1369.1807999999996</v>
      </c>
      <c r="M101" s="24">
        <f t="shared" si="6"/>
        <v>700.48800000000006</v>
      </c>
      <c r="N101" s="24">
        <f t="shared" si="7"/>
        <v>233.49600000000001</v>
      </c>
    </row>
    <row r="102" spans="1:14" x14ac:dyDescent="0.25">
      <c r="A102" s="8">
        <v>2048</v>
      </c>
      <c r="B102" s="23">
        <f t="shared" si="8"/>
        <v>1.7222399999999998</v>
      </c>
      <c r="C102" s="23">
        <f t="shared" si="9"/>
        <v>7.7349000000000001E-2</v>
      </c>
      <c r="D102" s="23">
        <f t="shared" si="10"/>
        <v>0.143819</v>
      </c>
      <c r="E102" s="23">
        <f t="shared" si="3"/>
        <v>0</v>
      </c>
      <c r="F102" s="23">
        <f t="shared" si="4"/>
        <v>0</v>
      </c>
      <c r="H102" s="24">
        <f t="shared" si="0"/>
        <v>2738.3615999999993</v>
      </c>
      <c r="I102" s="24">
        <f t="shared" si="5"/>
        <v>466.99200000000002</v>
      </c>
      <c r="K102" s="24">
        <f t="shared" si="1"/>
        <v>4107.5423999999994</v>
      </c>
      <c r="L102" s="24">
        <f t="shared" si="2"/>
        <v>1369.1807999999996</v>
      </c>
      <c r="M102" s="24">
        <f t="shared" si="6"/>
        <v>700.48800000000006</v>
      </c>
      <c r="N102" s="24">
        <f t="shared" si="7"/>
        <v>233.49600000000001</v>
      </c>
    </row>
    <row r="103" spans="1:14" x14ac:dyDescent="0.25">
      <c r="A103" s="8">
        <v>2049</v>
      </c>
      <c r="B103" s="23">
        <f t="shared" si="8"/>
        <v>1.7222399999999998</v>
      </c>
      <c r="C103" s="23">
        <f t="shared" si="9"/>
        <v>7.7349000000000001E-2</v>
      </c>
      <c r="D103" s="23">
        <f t="shared" si="10"/>
        <v>0.143819</v>
      </c>
      <c r="E103" s="23">
        <f t="shared" si="3"/>
        <v>0</v>
      </c>
      <c r="F103" s="23">
        <f t="shared" si="4"/>
        <v>0</v>
      </c>
      <c r="H103" s="24">
        <f t="shared" si="0"/>
        <v>2738.3615999999993</v>
      </c>
      <c r="I103" s="24">
        <f t="shared" si="5"/>
        <v>466.99200000000002</v>
      </c>
      <c r="K103" s="24">
        <f t="shared" si="1"/>
        <v>4107.5423999999994</v>
      </c>
      <c r="L103" s="24">
        <f t="shared" si="2"/>
        <v>1369.1807999999996</v>
      </c>
      <c r="M103" s="24">
        <f t="shared" si="6"/>
        <v>700.48800000000006</v>
      </c>
      <c r="N103" s="24">
        <f t="shared" si="7"/>
        <v>233.49600000000001</v>
      </c>
    </row>
    <row r="104" spans="1:14" x14ac:dyDescent="0.25">
      <c r="A104" s="8">
        <v>2050</v>
      </c>
      <c r="B104" s="23">
        <f t="shared" si="8"/>
        <v>1.7222399999999998</v>
      </c>
      <c r="C104" s="23">
        <f t="shared" si="9"/>
        <v>7.7349000000000001E-2</v>
      </c>
      <c r="D104" s="23">
        <f t="shared" si="10"/>
        <v>0.143819</v>
      </c>
      <c r="E104" s="23">
        <f t="shared" si="3"/>
        <v>0</v>
      </c>
      <c r="F104" s="23">
        <f t="shared" si="4"/>
        <v>0</v>
      </c>
      <c r="H104" s="24">
        <f t="shared" si="0"/>
        <v>2738.3615999999993</v>
      </c>
      <c r="I104" s="24">
        <f t="shared" si="5"/>
        <v>466.99200000000002</v>
      </c>
      <c r="K104" s="24">
        <f t="shared" si="1"/>
        <v>4107.5423999999994</v>
      </c>
      <c r="L104" s="24">
        <f t="shared" si="2"/>
        <v>1369.1807999999996</v>
      </c>
      <c r="M104" s="24">
        <f t="shared" si="6"/>
        <v>700.48800000000006</v>
      </c>
      <c r="N104" s="24">
        <f t="shared" si="7"/>
        <v>233.49600000000001</v>
      </c>
    </row>
    <row r="106" spans="1:14" ht="15" x14ac:dyDescent="0.25">
      <c r="A106" s="7" t="s">
        <v>39</v>
      </c>
      <c r="B106" s="174" t="s">
        <v>203</v>
      </c>
      <c r="C106" s="22" t="s">
        <v>204</v>
      </c>
    </row>
    <row r="107" spans="1:14" ht="15" x14ac:dyDescent="0.25">
      <c r="B107" s="7" t="s">
        <v>87</v>
      </c>
      <c r="C107" s="99" t="s">
        <v>205</v>
      </c>
    </row>
    <row r="109" spans="1:14" x14ac:dyDescent="0.25">
      <c r="A109" s="119" t="s">
        <v>74</v>
      </c>
      <c r="B109" s="119"/>
      <c r="C109" s="119"/>
      <c r="D109" s="119"/>
      <c r="E109" s="119"/>
      <c r="F109" s="119"/>
      <c r="I109" s="138"/>
    </row>
    <row r="110" spans="1:14" x14ac:dyDescent="0.25">
      <c r="A110" s="5" t="s">
        <v>113</v>
      </c>
    </row>
    <row r="111" spans="1:14" x14ac:dyDescent="0.25">
      <c r="A111" s="6" t="s">
        <v>36</v>
      </c>
      <c r="B111" s="6" t="s">
        <v>37</v>
      </c>
      <c r="C111" s="6" t="s">
        <v>38</v>
      </c>
      <c r="D111" s="6" t="s">
        <v>39</v>
      </c>
    </row>
    <row r="112" spans="1:14" x14ac:dyDescent="0.25">
      <c r="A112" s="8" t="s">
        <v>75</v>
      </c>
      <c r="B112" s="8" t="s">
        <v>5</v>
      </c>
      <c r="C112" s="19">
        <v>0.05</v>
      </c>
      <c r="D112" s="2"/>
    </row>
    <row r="113" spans="1:5" x14ac:dyDescent="0.25">
      <c r="A113" s="8" t="s">
        <v>122</v>
      </c>
      <c r="B113" s="8" t="s">
        <v>5</v>
      </c>
      <c r="C113" s="19">
        <v>0.23</v>
      </c>
      <c r="D113" s="2"/>
    </row>
    <row r="114" spans="1:5" x14ac:dyDescent="0.25">
      <c r="A114" s="8" t="s">
        <v>76</v>
      </c>
      <c r="B114" s="8" t="s">
        <v>5</v>
      </c>
      <c r="C114" s="20">
        <v>0.22</v>
      </c>
      <c r="D114" s="2"/>
    </row>
    <row r="115" spans="1:5" ht="27" x14ac:dyDescent="0.25">
      <c r="A115" s="8" t="s">
        <v>107</v>
      </c>
      <c r="B115" s="8" t="s">
        <v>5</v>
      </c>
      <c r="C115" s="117">
        <v>0.06</v>
      </c>
      <c r="D115" s="2" t="s">
        <v>168</v>
      </c>
    </row>
    <row r="116" spans="1:5" ht="15" x14ac:dyDescent="0.25">
      <c r="A116" s="8" t="s">
        <v>115</v>
      </c>
      <c r="B116" s="8" t="s">
        <v>1</v>
      </c>
      <c r="C116" s="117">
        <v>0.05</v>
      </c>
      <c r="D116" s="2"/>
      <c r="E116" s="99"/>
    </row>
    <row r="117" spans="1:5" ht="15" x14ac:dyDescent="0.25">
      <c r="A117" s="8" t="s">
        <v>116</v>
      </c>
      <c r="B117" s="8" t="s">
        <v>1</v>
      </c>
      <c r="C117" s="117">
        <v>4.4999999999999998E-2</v>
      </c>
      <c r="D117" s="2"/>
      <c r="E117" s="99"/>
    </row>
    <row r="118" spans="1:5" x14ac:dyDescent="0.25">
      <c r="A118" s="5" t="s">
        <v>114</v>
      </c>
    </row>
    <row r="119" spans="1:5" x14ac:dyDescent="0.25">
      <c r="A119" s="6" t="s">
        <v>36</v>
      </c>
      <c r="B119" s="6" t="s">
        <v>37</v>
      </c>
      <c r="C119" s="6" t="s">
        <v>38</v>
      </c>
      <c r="D119" s="6" t="s">
        <v>39</v>
      </c>
    </row>
    <row r="120" spans="1:5" x14ac:dyDescent="0.25">
      <c r="A120" s="8" t="s">
        <v>75</v>
      </c>
      <c r="B120" s="8" t="s">
        <v>5</v>
      </c>
      <c r="C120" s="19">
        <v>0.05</v>
      </c>
      <c r="D120" s="2"/>
    </row>
    <row r="121" spans="1:5" x14ac:dyDescent="0.25">
      <c r="A121" s="8" t="s">
        <v>122</v>
      </c>
      <c r="B121" s="8" t="s">
        <v>5</v>
      </c>
      <c r="C121" s="19">
        <v>0</v>
      </c>
      <c r="D121" s="2"/>
    </row>
    <row r="122" spans="1:5" x14ac:dyDescent="0.25">
      <c r="A122" s="8" t="s">
        <v>76</v>
      </c>
      <c r="B122" s="8" t="s">
        <v>5</v>
      </c>
      <c r="C122" s="20">
        <v>0.22</v>
      </c>
      <c r="D122" s="2"/>
    </row>
    <row r="123" spans="1:5" x14ac:dyDescent="0.25">
      <c r="A123" s="8" t="s">
        <v>107</v>
      </c>
      <c r="B123" s="8" t="s">
        <v>5</v>
      </c>
      <c r="C123" s="116">
        <v>0</v>
      </c>
      <c r="D123" s="2"/>
    </row>
    <row r="124" spans="1:5" x14ac:dyDescent="0.25">
      <c r="A124" s="8" t="s">
        <v>115</v>
      </c>
      <c r="B124" s="8" t="s">
        <v>1</v>
      </c>
      <c r="C124" s="116">
        <v>2.2499999999999999E-2</v>
      </c>
      <c r="D124" s="2"/>
    </row>
    <row r="125" spans="1:5" ht="15" x14ac:dyDescent="0.25">
      <c r="A125" s="8" t="s">
        <v>116</v>
      </c>
      <c r="B125" s="8" t="s">
        <v>1</v>
      </c>
      <c r="C125" s="116">
        <v>2.2499999999999999E-2</v>
      </c>
      <c r="D125" s="2"/>
      <c r="E125" s="99"/>
    </row>
    <row r="126" spans="1:5" ht="15" x14ac:dyDescent="0.25">
      <c r="A126" s="99"/>
      <c r="B126" s="99"/>
      <c r="C126" s="99"/>
      <c r="D126" s="99"/>
      <c r="E126" s="99"/>
    </row>
    <row r="127" spans="1:5" ht="15" x14ac:dyDescent="0.25">
      <c r="A127" s="99"/>
      <c r="B127" s="99"/>
      <c r="C127" s="99"/>
      <c r="D127" s="99"/>
      <c r="E127" s="99"/>
    </row>
    <row r="128" spans="1:5" ht="15" x14ac:dyDescent="0.25">
      <c r="A128" s="122" t="s">
        <v>131</v>
      </c>
      <c r="B128" s="99"/>
      <c r="C128" s="99"/>
      <c r="D128" s="99"/>
      <c r="E128" s="99"/>
    </row>
    <row r="129" spans="1:9" ht="15" x14ac:dyDescent="0.25">
      <c r="A129" s="8" t="s">
        <v>132</v>
      </c>
      <c r="B129" s="19">
        <v>0.35</v>
      </c>
      <c r="C129" s="99"/>
      <c r="D129" s="99"/>
      <c r="E129" s="99"/>
    </row>
    <row r="130" spans="1:9" ht="15" x14ac:dyDescent="0.25">
      <c r="A130" s="99"/>
      <c r="B130" s="99"/>
      <c r="C130" s="99"/>
      <c r="D130" s="99"/>
      <c r="E130" s="99"/>
    </row>
    <row r="131" spans="1:9" ht="15" x14ac:dyDescent="0.25">
      <c r="A131" s="99"/>
      <c r="B131" s="99"/>
      <c r="C131" s="99"/>
      <c r="D131" s="99"/>
    </row>
    <row r="132" spans="1:9" x14ac:dyDescent="0.25">
      <c r="A132" s="119" t="s">
        <v>130</v>
      </c>
      <c r="B132" s="119"/>
      <c r="C132" s="119"/>
      <c r="D132" s="119"/>
      <c r="E132" s="119"/>
      <c r="F132" s="119"/>
    </row>
    <row r="133" spans="1:9" x14ac:dyDescent="0.25">
      <c r="A133" s="6" t="s">
        <v>36</v>
      </c>
      <c r="B133" s="6" t="s">
        <v>37</v>
      </c>
      <c r="C133" s="6" t="s">
        <v>38</v>
      </c>
      <c r="D133" s="6" t="s">
        <v>39</v>
      </c>
    </row>
    <row r="134" spans="1:9" x14ac:dyDescent="0.25">
      <c r="A134" s="25" t="s">
        <v>19</v>
      </c>
      <c r="B134" s="8" t="s">
        <v>13</v>
      </c>
      <c r="C134" s="97">
        <v>218</v>
      </c>
      <c r="D134" s="26"/>
    </row>
    <row r="135" spans="1:9" x14ac:dyDescent="0.25">
      <c r="A135" s="25" t="s">
        <v>78</v>
      </c>
      <c r="B135" s="8" t="s">
        <v>12</v>
      </c>
      <c r="C135" s="27">
        <v>2.7600000000000003E-2</v>
      </c>
      <c r="D135" s="26"/>
      <c r="F135" s="226" t="s">
        <v>106</v>
      </c>
      <c r="G135" s="226"/>
      <c r="H135" s="226"/>
      <c r="I135" s="226"/>
    </row>
    <row r="136" spans="1:9" x14ac:dyDescent="0.25">
      <c r="A136" s="25" t="s">
        <v>79</v>
      </c>
      <c r="B136" s="8" t="s">
        <v>14</v>
      </c>
      <c r="C136" s="27">
        <v>40</v>
      </c>
      <c r="D136" s="26"/>
      <c r="F136" s="65" t="s">
        <v>179</v>
      </c>
      <c r="G136" s="65" t="s">
        <v>180</v>
      </c>
      <c r="H136" s="65" t="s">
        <v>179</v>
      </c>
      <c r="I136" s="65" t="s">
        <v>180</v>
      </c>
    </row>
    <row r="137" spans="1:9" x14ac:dyDescent="0.25">
      <c r="F137" s="6" t="s">
        <v>20</v>
      </c>
      <c r="G137" s="6" t="s">
        <v>20</v>
      </c>
      <c r="H137" s="6" t="s">
        <v>22</v>
      </c>
      <c r="I137" s="6" t="s">
        <v>22</v>
      </c>
    </row>
    <row r="138" spans="1:9" x14ac:dyDescent="0.25">
      <c r="A138" s="25" t="s">
        <v>80</v>
      </c>
      <c r="B138" s="8" t="s">
        <v>18</v>
      </c>
      <c r="C138" s="45">
        <f>C134*C39/(10^6)</f>
        <v>52.32</v>
      </c>
      <c r="D138" s="26"/>
      <c r="F138" s="8" t="s">
        <v>1</v>
      </c>
      <c r="G138" s="8" t="s">
        <v>1</v>
      </c>
      <c r="H138" s="8" t="s">
        <v>1</v>
      </c>
      <c r="I138" s="8" t="s">
        <v>1</v>
      </c>
    </row>
    <row r="139" spans="1:9" x14ac:dyDescent="0.25">
      <c r="A139" s="25" t="s">
        <v>81</v>
      </c>
      <c r="B139" s="8" t="s">
        <v>18</v>
      </c>
      <c r="C139" s="45">
        <f>C135*C40*C18/1000</f>
        <v>1.0598400000000001</v>
      </c>
      <c r="D139" s="26"/>
      <c r="F139" s="24">
        <f>C134*H39/(10^6)*$C$136</f>
        <v>3139.2000000000003</v>
      </c>
      <c r="G139" s="24">
        <f>C134*I39/(10^6)*$C$136</f>
        <v>1046.4000000000001</v>
      </c>
      <c r="H139" s="24">
        <f>C135*H40*C18/1000*$C$136</f>
        <v>63.59040000000001</v>
      </c>
      <c r="I139" s="24">
        <f>C135*I40*C18/1000*$C$136</f>
        <v>21.196800000000003</v>
      </c>
    </row>
    <row r="140" spans="1:9" x14ac:dyDescent="0.25">
      <c r="A140" s="25" t="s">
        <v>82</v>
      </c>
      <c r="B140" s="8" t="s">
        <v>1</v>
      </c>
      <c r="C140" s="46">
        <f>C138*$C$136</f>
        <v>2092.8000000000002</v>
      </c>
      <c r="D140" s="26"/>
    </row>
    <row r="141" spans="1:9" x14ac:dyDescent="0.25">
      <c r="A141" s="25" t="s">
        <v>83</v>
      </c>
      <c r="B141" s="8" t="s">
        <v>1</v>
      </c>
      <c r="C141" s="46">
        <f>C139*$C$136</f>
        <v>42.393600000000006</v>
      </c>
      <c r="D141" s="26"/>
    </row>
  </sheetData>
  <mergeCells count="12">
    <mergeCell ref="F135:I135"/>
    <mergeCell ref="J56:M56"/>
    <mergeCell ref="A1:F1"/>
    <mergeCell ref="A3:F3"/>
    <mergeCell ref="A35:D35"/>
    <mergeCell ref="D25:D26"/>
    <mergeCell ref="H11:I11"/>
    <mergeCell ref="H12:I12"/>
    <mergeCell ref="A56:H56"/>
    <mergeCell ref="F35:I35"/>
    <mergeCell ref="B59:C59"/>
    <mergeCell ref="D59:E59"/>
  </mergeCells>
  <dataValidations count="2">
    <dataValidation showInputMessage="1" showErrorMessage="1" sqref="C6:C8 C31:C32 C38:C44 C23:C26 C49:C53 C112:C117 H38:I43 C120:C130 C14:C18 H5:I5 I6:I8" xr:uid="{028A789C-13FC-4BA8-BD35-406333530ABA}"/>
    <dataValidation showInputMessage="1" showErrorMessage="1" errorTitle="Error" error="Debe elegir un modelo" promptTitle="Seleccionar" sqref="D38:D44 D6:D9 D49:D50 J6 D23:D25 D120:D130 D14:D20 D112:D117 E14:E15 D31:D32" xr:uid="{192A9A90-5B5C-45E1-8D25-5967310D923C}"/>
  </dataValidations>
  <hyperlinks>
    <hyperlink ref="D53" r:id="rId1" xr:uid="{4C6CDBA4-B655-4E8C-B7B6-23DEE7E9BA6A}"/>
    <hyperlink ref="N6" r:id="rId2" xr:uid="{DFACC7CE-2D0E-4901-8E65-20C6F8297735}"/>
    <hyperlink ref="N7" r:id="rId3" xr:uid="{3ABDFA1F-9EE1-4D7E-8B5D-D8993EAB1F40}"/>
    <hyperlink ref="N8" r:id="rId4" location=":~:text=Subsidio%20para%20el%20recambio%20de,Administraci%C3%B3n%20del%20Transporte%20(Ejido%201290)" xr:uid="{CE0A8FDA-7F46-4E39-A14A-E0D36096AC0E}"/>
    <hyperlink ref="E6" r:id="rId5" xr:uid="{6959F898-FC5D-454C-A1E3-384B64691665}"/>
    <hyperlink ref="E31" r:id="rId6" xr:uid="{58D94CEF-0B0B-4915-8120-4E4B379B9041}"/>
    <hyperlink ref="E32" r:id="rId7" xr:uid="{5A05B1E8-54C1-4F12-AAC8-019D0E648116}"/>
    <hyperlink ref="E15" r:id="rId8" xr:uid="{F0E68582-83A9-4AE1-9390-0B24116AF36D}"/>
    <hyperlink ref="E14" r:id="rId9" xr:uid="{E30CB3F6-1E10-4A7D-AB17-0C9BD5FB7AB4}"/>
    <hyperlink ref="E18" r:id="rId10" xr:uid="{96B458E5-208B-4E2C-B68A-BC1F095DAD9B}"/>
    <hyperlink ref="C107" r:id="rId11" xr:uid="{4B4FAEDA-FADB-43E0-8FB8-E0BFA9976035}"/>
    <hyperlink ref="C106" r:id="rId12" display="Ancap 2021 " xr:uid="{ACBA8909-7670-4CC4-B86C-509BBCA3D9B2}"/>
  </hyperlinks>
  <pageMargins left="0.7" right="0.7" top="0.75" bottom="0.75" header="0.3" footer="0.3"/>
  <pageSetup orientation="portrait" r:id="rId13"/>
  <ignoredErrors>
    <ignoredError sqref="I6" formula="1"/>
  </ignoredErrors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8291-33C1-4B73-8647-D0837977D21A}">
  <dimension ref="A1:K169"/>
  <sheetViews>
    <sheetView zoomScale="85" zoomScaleNormal="85" workbookViewId="0">
      <selection sqref="A1:F1"/>
    </sheetView>
  </sheetViews>
  <sheetFormatPr baseColWidth="10" defaultColWidth="10.85546875" defaultRowHeight="13.5" x14ac:dyDescent="0.25"/>
  <cols>
    <col min="1" max="1" width="21" style="3" customWidth="1"/>
    <col min="2" max="2" width="32.42578125" style="3" customWidth="1"/>
    <col min="3" max="10" width="13.140625" style="3" customWidth="1"/>
    <col min="11" max="11" width="30.42578125" style="3" bestFit="1" customWidth="1"/>
    <col min="12" max="15" width="15.140625" style="3" customWidth="1"/>
    <col min="16" max="16384" width="10.85546875" style="3"/>
  </cols>
  <sheetData>
    <row r="1" spans="1:8" ht="12.6" customHeight="1" x14ac:dyDescent="0.25">
      <c r="A1" s="245" t="s">
        <v>89</v>
      </c>
      <c r="B1" s="245"/>
      <c r="C1" s="245"/>
      <c r="D1" s="245"/>
      <c r="E1" s="245"/>
      <c r="F1" s="245"/>
      <c r="G1" s="61"/>
      <c r="H1" s="61"/>
    </row>
    <row r="2" spans="1:8" x14ac:dyDescent="0.25">
      <c r="C2" s="111" t="s">
        <v>111</v>
      </c>
      <c r="D2" s="111" t="s">
        <v>90</v>
      </c>
      <c r="E2" s="112" t="s">
        <v>147</v>
      </c>
      <c r="F2" s="112" t="s">
        <v>90</v>
      </c>
      <c r="G2" s="59"/>
      <c r="H2" s="59"/>
    </row>
    <row r="3" spans="1:8" ht="12.6" customHeight="1" x14ac:dyDescent="0.25">
      <c r="B3" s="70"/>
      <c r="C3" s="79"/>
      <c r="E3" s="79"/>
      <c r="F3" s="31"/>
    </row>
    <row r="4" spans="1:8" x14ac:dyDescent="0.25">
      <c r="A4" s="246" t="s">
        <v>15</v>
      </c>
      <c r="B4" s="29" t="s">
        <v>91</v>
      </c>
      <c r="C4" s="36">
        <f>Parametros!C6</f>
        <v>19000</v>
      </c>
      <c r="D4" s="51">
        <f t="shared" ref="D4:D13" ca="1" si="0">C4/(SUM($C$4:$C$13))</f>
        <v>0.17941412955862321</v>
      </c>
      <c r="E4" s="37">
        <f>Parametros!$C$14</f>
        <v>38000</v>
      </c>
      <c r="F4" s="69">
        <f t="shared" ref="F4:F13" ca="1" si="1">E4/(SUM($E$4:$E$13))</f>
        <v>0.39545448595423083</v>
      </c>
    </row>
    <row r="5" spans="1:8" x14ac:dyDescent="0.25">
      <c r="A5" s="248"/>
      <c r="B5" s="113" t="s">
        <v>86</v>
      </c>
      <c r="C5" s="32">
        <v>0</v>
      </c>
      <c r="D5" s="49">
        <f t="shared" ca="1" si="0"/>
        <v>0</v>
      </c>
      <c r="E5" s="33">
        <f>Parametros!C23</f>
        <v>2000</v>
      </c>
      <c r="F5" s="69">
        <f t="shared" ca="1" si="1"/>
        <v>2.0813393997591096E-2</v>
      </c>
    </row>
    <row r="6" spans="1:8" x14ac:dyDescent="0.25">
      <c r="A6" s="246" t="s">
        <v>16</v>
      </c>
      <c r="B6" s="29" t="s">
        <v>75</v>
      </c>
      <c r="C6" s="36">
        <f>Parametros!$C$112*C4</f>
        <v>950</v>
      </c>
      <c r="D6" s="51">
        <f t="shared" ca="1" si="0"/>
        <v>8.9707064779311601E-3</v>
      </c>
      <c r="E6" s="37">
        <f>Parametros!$C$120*E4</f>
        <v>1900</v>
      </c>
      <c r="F6" s="69">
        <f t="shared" ca="1" si="1"/>
        <v>1.9772724297711541E-2</v>
      </c>
    </row>
    <row r="7" spans="1:8" x14ac:dyDescent="0.25">
      <c r="A7" s="247"/>
      <c r="B7" s="120" t="s">
        <v>122</v>
      </c>
      <c r="C7" s="32">
        <f>Parametros!$C$113*C4</f>
        <v>4370</v>
      </c>
      <c r="D7" s="49">
        <f t="shared" ca="1" si="0"/>
        <v>4.1265249798483339E-2</v>
      </c>
      <c r="E7" s="33">
        <f>Parametros!$C$121*E4</f>
        <v>0</v>
      </c>
      <c r="F7" s="69">
        <f t="shared" ca="1" si="1"/>
        <v>0</v>
      </c>
    </row>
    <row r="8" spans="1:8" x14ac:dyDescent="0.25">
      <c r="A8" s="247"/>
      <c r="B8" s="113" t="s">
        <v>76</v>
      </c>
      <c r="C8" s="32">
        <f>Parametros!$C$114*C4</f>
        <v>4180</v>
      </c>
      <c r="D8" s="49">
        <f t="shared" ca="1" si="0"/>
        <v>3.9471108502897104E-2</v>
      </c>
      <c r="E8" s="33">
        <f>Parametros!$C$122*E4</f>
        <v>8360</v>
      </c>
      <c r="F8" s="69">
        <f t="shared" ca="1" si="1"/>
        <v>8.6999986909930785E-2</v>
      </c>
    </row>
    <row r="9" spans="1:8" x14ac:dyDescent="0.25">
      <c r="A9" s="247"/>
      <c r="B9" s="113" t="s">
        <v>107</v>
      </c>
      <c r="C9" s="32">
        <f>Parametros!$C$115*C4</f>
        <v>1140</v>
      </c>
      <c r="D9" s="49">
        <f t="shared" ca="1" si="0"/>
        <v>1.0764847773517392E-2</v>
      </c>
      <c r="E9" s="33">
        <f>Parametros!$C$123*E4</f>
        <v>0</v>
      </c>
      <c r="F9" s="69">
        <f t="shared" ca="1" si="1"/>
        <v>0</v>
      </c>
    </row>
    <row r="10" spans="1:8" x14ac:dyDescent="0.25">
      <c r="A10" s="247"/>
      <c r="B10" s="113" t="s">
        <v>117</v>
      </c>
      <c r="C10" s="32">
        <f>C4*Parametros!$C$116+C4*Parametros!$C$117*(Parametros!$C$7-1)</f>
        <v>6935</v>
      </c>
      <c r="D10" s="49">
        <f t="shared" ca="1" si="0"/>
        <v>6.5486157288897479E-2</v>
      </c>
      <c r="E10" s="33">
        <f>E4*Parametros!$C$124+E4*Parametros!$C$125*(Parametros!$C$16-1)</f>
        <v>6840</v>
      </c>
      <c r="F10" s="69">
        <f t="shared" ca="1" si="1"/>
        <v>7.1181807471761546E-2</v>
      </c>
    </row>
    <row r="11" spans="1:8" x14ac:dyDescent="0.25">
      <c r="A11" s="247"/>
      <c r="B11" s="30" t="s">
        <v>92</v>
      </c>
      <c r="C11" s="32">
        <f>-PMT(Parametros!$C$51,Parametros!$C$50,Parametros!$C$49*(C4+C6+C7+C8+C9))*Parametros!$C$50-(C4+C6+C7+C8+C9)*Parametros!$C$49</f>
        <v>6618.3506576468899</v>
      </c>
      <c r="D11" s="49">
        <f t="shared" ca="1" si="0"/>
        <v>6.2496085387129377E-2</v>
      </c>
      <c r="E11" s="33">
        <f>-PMT(Parametros!$C$52,Parametros!$C$50,Parametros!$C$49*(E4+E6+E7+E8+E9))*Parametros!$C$50-(E4+E6+E7+E8+E9)*Parametros!$C$49</f>
        <v>10776.032481040442</v>
      </c>
      <c r="F11" s="69">
        <f t="shared" ca="1" si="1"/>
        <v>0.11214290487936691</v>
      </c>
    </row>
    <row r="12" spans="1:8" x14ac:dyDescent="0.25">
      <c r="A12" s="246" t="s">
        <v>17</v>
      </c>
      <c r="B12" s="113" t="s">
        <v>43</v>
      </c>
      <c r="C12" s="36">
        <f>(Parametros!$C$9)*Parametros!$C$39</f>
        <v>40800</v>
      </c>
      <c r="D12" s="51">
        <f t="shared" ca="1" si="0"/>
        <v>0.38526823610483302</v>
      </c>
      <c r="E12" s="37">
        <f>Parametros!$C$40*(Parametros!$C$19)</f>
        <v>24480</v>
      </c>
      <c r="F12" s="69">
        <f t="shared" ca="1" si="1"/>
        <v>0.25475594253051503</v>
      </c>
    </row>
    <row r="13" spans="1:8" x14ac:dyDescent="0.25">
      <c r="A13" s="248"/>
      <c r="B13" s="30" t="s">
        <v>93</v>
      </c>
      <c r="C13" s="34">
        <f ca="1">SUM(Parametros!$H$76:OFFSET(Parametros!$H$76,Parametros!$C$7-1,0))</f>
        <v>21906.892799999998</v>
      </c>
      <c r="D13" s="50">
        <f t="shared" ca="1" si="0"/>
        <v>0.20686347910768788</v>
      </c>
      <c r="E13" s="35">
        <f ca="1">SUM(Parametros!$I$76:OFFSET(Parametros!$I$76,Parametros!$C$16-1,0))</f>
        <v>3735.9360000000006</v>
      </c>
      <c r="F13" s="69">
        <f t="shared" ca="1" si="1"/>
        <v>3.8878753958892252E-2</v>
      </c>
    </row>
    <row r="14" spans="1:8" x14ac:dyDescent="0.25">
      <c r="A14" s="246" t="s">
        <v>134</v>
      </c>
      <c r="B14" s="120" t="s">
        <v>135</v>
      </c>
      <c r="C14" s="32"/>
      <c r="D14" s="49"/>
      <c r="E14" s="33">
        <f>Parametros!$B$129*(SUM(E4:E9))</f>
        <v>17591</v>
      </c>
      <c r="F14" s="123"/>
    </row>
    <row r="15" spans="1:8" x14ac:dyDescent="0.25">
      <c r="A15" s="247"/>
      <c r="B15" s="120" t="s">
        <v>141</v>
      </c>
      <c r="C15" s="32">
        <f>C4</f>
        <v>19000</v>
      </c>
      <c r="D15" s="49"/>
      <c r="E15" s="33">
        <f>E4-E14</f>
        <v>20409</v>
      </c>
      <c r="F15" s="123"/>
    </row>
    <row r="16" spans="1:8" ht="12.6" customHeight="1" x14ac:dyDescent="0.25">
      <c r="A16" s="78"/>
      <c r="B16" s="70" t="s">
        <v>21</v>
      </c>
      <c r="C16" s="71">
        <f ca="1">SUM(C4:C13)</f>
        <v>105900.24345764689</v>
      </c>
      <c r="D16" s="64" t="s">
        <v>1</v>
      </c>
      <c r="E16" s="71">
        <f ca="1">SUM(E4:E13)-E14</f>
        <v>78500.968481040443</v>
      </c>
      <c r="F16" s="64" t="s">
        <v>1</v>
      </c>
    </row>
    <row r="17" spans="1:6" x14ac:dyDescent="0.25">
      <c r="A17" s="78"/>
      <c r="B17" s="70"/>
      <c r="C17" s="71">
        <f ca="1">C16/Parametros!$C$7</f>
        <v>13237.530432205862</v>
      </c>
      <c r="D17" s="64" t="s">
        <v>77</v>
      </c>
      <c r="E17" s="71">
        <f ca="1">E16/Parametros!$C$16</f>
        <v>9812.6210601300554</v>
      </c>
      <c r="F17" s="64" t="s">
        <v>77</v>
      </c>
    </row>
    <row r="18" spans="1:6" ht="12.6" customHeight="1" x14ac:dyDescent="0.25">
      <c r="A18" s="78"/>
      <c r="B18" s="70"/>
      <c r="C18" s="71"/>
      <c r="D18" s="64"/>
      <c r="E18" s="71"/>
      <c r="F18" s="64"/>
    </row>
    <row r="19" spans="1:6" x14ac:dyDescent="0.25">
      <c r="A19" s="72" t="s">
        <v>133</v>
      </c>
      <c r="B19" s="73" t="s">
        <v>95</v>
      </c>
      <c r="C19" s="74">
        <f>Parametros!C140</f>
        <v>2092.8000000000002</v>
      </c>
      <c r="D19" s="75"/>
      <c r="E19" s="76">
        <f>Parametros!C141</f>
        <v>42.393600000000006</v>
      </c>
      <c r="F19" s="77"/>
    </row>
    <row r="20" spans="1:6" ht="12.6" customHeight="1" x14ac:dyDescent="0.25">
      <c r="B20" s="70" t="s">
        <v>21</v>
      </c>
      <c r="C20" s="71">
        <f ca="1">C16+C19</f>
        <v>107993.0434576469</v>
      </c>
      <c r="D20" s="64"/>
      <c r="E20" s="71">
        <f ca="1">E19+E16</f>
        <v>78543.362081040439</v>
      </c>
      <c r="F20" s="64"/>
    </row>
    <row r="21" spans="1:6" x14ac:dyDescent="0.25">
      <c r="B21" s="70"/>
      <c r="C21" s="71">
        <f ca="1">C20/Parametros!$C$7</f>
        <v>13499.130432205862</v>
      </c>
      <c r="D21" s="64" t="s">
        <v>77</v>
      </c>
      <c r="E21" s="71">
        <f ca="1">E20/Parametros!$C$16</f>
        <v>9817.9202601300549</v>
      </c>
      <c r="F21" s="64" t="s">
        <v>77</v>
      </c>
    </row>
    <row r="22" spans="1:6" ht="13.5" customHeight="1" x14ac:dyDescent="0.3">
      <c r="A22" s="244" t="s">
        <v>96</v>
      </c>
      <c r="B22" s="244"/>
      <c r="C22" s="121">
        <f ca="1">C16</f>
        <v>105900.24345764689</v>
      </c>
      <c r="D22" s="41"/>
      <c r="E22" s="52">
        <f ca="1">E16</f>
        <v>78500.968481040443</v>
      </c>
      <c r="F22" s="42"/>
    </row>
    <row r="23" spans="1:6" ht="13.5" customHeight="1" x14ac:dyDescent="0.3">
      <c r="A23" s="244" t="s">
        <v>97</v>
      </c>
      <c r="B23" s="244"/>
      <c r="C23" s="108">
        <f ca="1">C22/Parametros!C39</f>
        <v>0.44125101440686204</v>
      </c>
      <c r="D23" s="41"/>
      <c r="E23" s="118">
        <f ca="1">E22/Parametros!C40</f>
        <v>0.32708736867100185</v>
      </c>
      <c r="F23" s="42"/>
    </row>
    <row r="24" spans="1:6" ht="13.5" customHeight="1" x14ac:dyDescent="0.3">
      <c r="A24" s="244" t="s">
        <v>98</v>
      </c>
      <c r="B24" s="244"/>
      <c r="C24" s="43"/>
      <c r="D24" s="43"/>
      <c r="E24" s="42"/>
      <c r="F24" s="44"/>
    </row>
    <row r="25" spans="1:6" ht="12.6" customHeight="1" x14ac:dyDescent="0.25"/>
    <row r="26" spans="1:6" ht="16.5" x14ac:dyDescent="0.3">
      <c r="A26" s="244" t="s">
        <v>99</v>
      </c>
      <c r="B26" s="244"/>
      <c r="C26" s="121">
        <f ca="1">C20</f>
        <v>107993.0434576469</v>
      </c>
      <c r="D26" s="41"/>
      <c r="E26" s="52">
        <f ca="1">E20</f>
        <v>78543.362081040439</v>
      </c>
      <c r="F26" s="42"/>
    </row>
    <row r="27" spans="1:6" ht="16.5" x14ac:dyDescent="0.3">
      <c r="A27" s="244" t="s">
        <v>100</v>
      </c>
      <c r="B27" s="244"/>
      <c r="C27" s="108">
        <f ca="1">C26/Parametros!C39</f>
        <v>0.4499710144068621</v>
      </c>
      <c r="D27" s="41"/>
      <c r="E27" s="110">
        <f ca="1">E26/Parametros!C40</f>
        <v>0.3272640086710018</v>
      </c>
      <c r="F27" s="42"/>
    </row>
    <row r="28" spans="1:6" ht="13.5" customHeight="1" x14ac:dyDescent="0.3">
      <c r="A28" s="244" t="s">
        <v>98</v>
      </c>
      <c r="B28" s="244"/>
      <c r="C28" s="43"/>
      <c r="D28" s="43"/>
      <c r="E28" s="42"/>
      <c r="F28" s="44"/>
    </row>
    <row r="29" spans="1:6" ht="12.6" customHeight="1" x14ac:dyDescent="0.25"/>
    <row r="30" spans="1:6" ht="13.5" customHeight="1" x14ac:dyDescent="0.3">
      <c r="A30" s="244" t="s">
        <v>101</v>
      </c>
      <c r="B30" s="244"/>
      <c r="C30" s="40">
        <v>0</v>
      </c>
      <c r="D30" s="41"/>
      <c r="E30" s="100">
        <f>E14</f>
        <v>17591</v>
      </c>
      <c r="F30" s="42"/>
    </row>
    <row r="31" spans="1:6" ht="16.5" x14ac:dyDescent="0.3">
      <c r="A31" s="244" t="s">
        <v>102</v>
      </c>
      <c r="B31" s="244"/>
      <c r="C31" s="101">
        <v>0</v>
      </c>
      <c r="D31" s="102"/>
      <c r="E31" s="100">
        <f>(Parametros!$C$113-Parametros!$C$121+Parametros!$C$115-Parametros!$C$123)*E4+(Parametros!$C$116-Parametros!$C$124)*E4+(Parametros!$C$117-Parametros!$C$125)*E4*(Parametros!$C$17-1)</f>
        <v>18050</v>
      </c>
      <c r="F31" s="103"/>
    </row>
    <row r="34" spans="1:8" ht="12.6" customHeight="1" x14ac:dyDescent="0.25">
      <c r="A34" s="245" t="s">
        <v>103</v>
      </c>
      <c r="B34" s="245"/>
      <c r="C34" s="245"/>
      <c r="D34" s="245"/>
      <c r="E34" s="245"/>
      <c r="F34" s="245"/>
      <c r="G34" s="61"/>
      <c r="H34" s="61"/>
    </row>
    <row r="35" spans="1:8" x14ac:dyDescent="0.25">
      <c r="C35" s="111" t="s">
        <v>111</v>
      </c>
      <c r="D35" s="112" t="s">
        <v>147</v>
      </c>
    </row>
    <row r="36" spans="1:8" ht="12.95" customHeight="1" thickBot="1" x14ac:dyDescent="0.3">
      <c r="B36" s="28"/>
      <c r="C36" s="31"/>
      <c r="D36" s="31"/>
      <c r="E36" s="6">
        <v>2020</v>
      </c>
      <c r="F36" s="6" t="s">
        <v>20</v>
      </c>
      <c r="G36" s="6" t="s">
        <v>22</v>
      </c>
      <c r="H36" s="6" t="s">
        <v>118</v>
      </c>
    </row>
    <row r="37" spans="1:8" ht="14.25" thickBot="1" x14ac:dyDescent="0.3">
      <c r="A37" s="246" t="s">
        <v>15</v>
      </c>
      <c r="B37" s="29" t="s">
        <v>141</v>
      </c>
      <c r="C37" s="54">
        <f>C15/Parametros!$C$39</f>
        <v>7.9166666666666663E-2</v>
      </c>
      <c r="D37" s="83">
        <f>E15/Parametros!$C$40</f>
        <v>8.5037500000000002E-2</v>
      </c>
      <c r="E37" s="25" t="s">
        <v>32</v>
      </c>
      <c r="F37" s="64">
        <f>SUM(C4:C5)+SUM(C6)</f>
        <v>19950</v>
      </c>
      <c r="G37" s="64">
        <f>SUM(E4:E5)+SUM(E6)</f>
        <v>41900</v>
      </c>
      <c r="H37" s="91">
        <f>G37/F37</f>
        <v>2.100250626566416</v>
      </c>
    </row>
    <row r="38" spans="1:8" x14ac:dyDescent="0.25">
      <c r="A38" s="247"/>
      <c r="B38" s="113" t="s">
        <v>166</v>
      </c>
      <c r="C38" s="54">
        <f>C4/Parametros!$C$39</f>
        <v>7.9166666666666663E-2</v>
      </c>
      <c r="D38" s="83">
        <f>E4/Parametros!$C$40</f>
        <v>0.15833333333333333</v>
      </c>
      <c r="E38" s="25" t="s">
        <v>33</v>
      </c>
      <c r="F38" s="64">
        <f>F37-F39</f>
        <v>13965</v>
      </c>
      <c r="G38" s="64">
        <f>G37-G39</f>
        <v>27930</v>
      </c>
      <c r="H38" s="91">
        <f>G38/F38</f>
        <v>2</v>
      </c>
    </row>
    <row r="39" spans="1:8" x14ac:dyDescent="0.25">
      <c r="A39" s="248"/>
      <c r="B39" s="113" t="s">
        <v>86</v>
      </c>
      <c r="C39" s="55">
        <f>C5/Parametros!$C$39</f>
        <v>0</v>
      </c>
      <c r="D39" s="84">
        <f>E5/Parametros!$C$40</f>
        <v>8.3333333333333332E-3</v>
      </c>
      <c r="E39" s="25" t="s">
        <v>34</v>
      </c>
      <c r="F39" s="107">
        <f>(1-Parametros!$C$49)*(C4+C6)</f>
        <v>5985.0000000000009</v>
      </c>
      <c r="G39" s="107">
        <f>(1-Parametros!$C$49)*(E4+E6)+E5</f>
        <v>13970.000000000002</v>
      </c>
      <c r="H39" s="91">
        <f>G39/F39</f>
        <v>2.3341687552213868</v>
      </c>
    </row>
    <row r="40" spans="1:8" x14ac:dyDescent="0.25">
      <c r="A40" s="246" t="s">
        <v>16</v>
      </c>
      <c r="B40" s="29" t="s">
        <v>75</v>
      </c>
      <c r="C40" s="57">
        <f>C6/Parametros!$C$39</f>
        <v>3.9583333333333337E-3</v>
      </c>
      <c r="D40" s="86">
        <f>E6/Parametros!$C$40</f>
        <v>7.9166666666666673E-3</v>
      </c>
    </row>
    <row r="41" spans="1:8" x14ac:dyDescent="0.25">
      <c r="A41" s="247"/>
      <c r="B41" s="120" t="s">
        <v>122</v>
      </c>
      <c r="C41" s="55">
        <f>C7/Parametros!$C$39</f>
        <v>1.8208333333333333E-2</v>
      </c>
      <c r="D41" s="84">
        <f>E7/Parametros!$C$40</f>
        <v>0</v>
      </c>
    </row>
    <row r="42" spans="1:8" x14ac:dyDescent="0.25">
      <c r="A42" s="247"/>
      <c r="B42" s="113" t="s">
        <v>76</v>
      </c>
      <c r="C42" s="55">
        <f>C8/Parametros!$C$39</f>
        <v>1.7416666666666667E-2</v>
      </c>
      <c r="D42" s="84">
        <f>E8/Parametros!$C$40</f>
        <v>3.4833333333333334E-2</v>
      </c>
    </row>
    <row r="43" spans="1:8" x14ac:dyDescent="0.25">
      <c r="A43" s="247"/>
      <c r="B43" s="113" t="s">
        <v>107</v>
      </c>
      <c r="C43" s="55">
        <f>C9/Parametros!$C$39</f>
        <v>4.7499999999999999E-3</v>
      </c>
      <c r="D43" s="84">
        <f>E9/Parametros!$C$40</f>
        <v>0</v>
      </c>
    </row>
    <row r="44" spans="1:8" x14ac:dyDescent="0.25">
      <c r="A44" s="247"/>
      <c r="B44" s="113" t="s">
        <v>117</v>
      </c>
      <c r="C44" s="55">
        <f>C10/Parametros!$C$39</f>
        <v>2.8895833333333332E-2</v>
      </c>
      <c r="D44" s="84">
        <f>E10/Parametros!$C$40</f>
        <v>2.8500000000000001E-2</v>
      </c>
    </row>
    <row r="45" spans="1:8" x14ac:dyDescent="0.25">
      <c r="A45" s="247"/>
      <c r="B45" s="30" t="s">
        <v>92</v>
      </c>
      <c r="C45" s="56">
        <f>C11/Parametros!$C$39</f>
        <v>2.7576461073528707E-2</v>
      </c>
      <c r="D45" s="85">
        <f>E11/Parametros!$C$40</f>
        <v>4.4900135337668505E-2</v>
      </c>
    </row>
    <row r="46" spans="1:8" x14ac:dyDescent="0.25">
      <c r="A46" s="246" t="s">
        <v>17</v>
      </c>
      <c r="B46" s="113" t="s">
        <v>43</v>
      </c>
      <c r="C46" s="55">
        <f>C12/Parametros!$C$39</f>
        <v>0.17</v>
      </c>
      <c r="D46" s="84">
        <f>E12/Parametros!$C$40</f>
        <v>0.10199999999999999</v>
      </c>
    </row>
    <row r="47" spans="1:8" ht="14.25" thickBot="1" x14ac:dyDescent="0.3">
      <c r="A47" s="248"/>
      <c r="B47" s="30" t="s">
        <v>93</v>
      </c>
      <c r="C47" s="58">
        <f ca="1">C13/Parametros!$C$39</f>
        <v>9.1278719999999994E-2</v>
      </c>
      <c r="D47" s="87">
        <f ca="1">E13/Parametros!$C$40</f>
        <v>1.5566400000000003E-2</v>
      </c>
    </row>
    <row r="48" spans="1:8" x14ac:dyDescent="0.25">
      <c r="A48" s="72" t="s">
        <v>133</v>
      </c>
      <c r="B48" s="73" t="s">
        <v>95</v>
      </c>
      <c r="C48" s="55">
        <f>C19/Parametros!$C$39</f>
        <v>8.7200000000000003E-3</v>
      </c>
      <c r="D48" s="83">
        <f>E19/Parametros!$C$40</f>
        <v>1.7664000000000002E-4</v>
      </c>
    </row>
    <row r="91" spans="1:8" s="67" customFormat="1" x14ac:dyDescent="0.25">
      <c r="A91" s="68" t="s">
        <v>104</v>
      </c>
    </row>
    <row r="92" spans="1:8" x14ac:dyDescent="0.25">
      <c r="A92" s="245" t="s">
        <v>89</v>
      </c>
      <c r="B92" s="245"/>
      <c r="C92" s="245"/>
      <c r="D92" s="245"/>
      <c r="E92" s="245"/>
      <c r="F92" s="245"/>
      <c r="G92" s="61"/>
      <c r="H92" s="61"/>
    </row>
    <row r="93" spans="1:8" x14ac:dyDescent="0.25">
      <c r="C93" s="38" t="s">
        <v>142</v>
      </c>
      <c r="D93" s="38" t="s">
        <v>143</v>
      </c>
      <c r="E93" s="39" t="s">
        <v>144</v>
      </c>
      <c r="F93" s="39" t="s">
        <v>145</v>
      </c>
      <c r="G93" s="59"/>
      <c r="H93" s="59"/>
    </row>
    <row r="94" spans="1:8" ht="14.25" thickBot="1" x14ac:dyDescent="0.3">
      <c r="B94" s="28"/>
      <c r="C94" s="31"/>
      <c r="D94" s="31"/>
      <c r="E94" s="31"/>
      <c r="F94" s="31"/>
      <c r="G94" s="31"/>
      <c r="H94" s="31"/>
    </row>
    <row r="95" spans="1:8" x14ac:dyDescent="0.25">
      <c r="A95" s="246" t="s">
        <v>15</v>
      </c>
      <c r="B95" s="29" t="s">
        <v>91</v>
      </c>
      <c r="C95" s="47">
        <f t="shared" ref="C95:C102" si="2">C4</f>
        <v>19000</v>
      </c>
      <c r="D95" s="47">
        <f>C95</f>
        <v>19000</v>
      </c>
      <c r="E95" s="48">
        <f t="shared" ref="E95:E102" si="3">E4</f>
        <v>38000</v>
      </c>
      <c r="F95" s="48">
        <f>E95</f>
        <v>38000</v>
      </c>
      <c r="G95" s="60"/>
      <c r="H95" s="60"/>
    </row>
    <row r="96" spans="1:8" x14ac:dyDescent="0.25">
      <c r="A96" s="248"/>
      <c r="B96" s="113" t="s">
        <v>86</v>
      </c>
      <c r="C96" s="32">
        <f t="shared" si="2"/>
        <v>0</v>
      </c>
      <c r="D96" s="32">
        <f t="shared" ref="D96" si="4">C96</f>
        <v>0</v>
      </c>
      <c r="E96" s="33">
        <f t="shared" si="3"/>
        <v>2000</v>
      </c>
      <c r="F96" s="33">
        <f>E96</f>
        <v>2000</v>
      </c>
      <c r="G96" s="60"/>
      <c r="H96" s="60"/>
    </row>
    <row r="97" spans="1:8" x14ac:dyDescent="0.25">
      <c r="A97" s="246" t="s">
        <v>16</v>
      </c>
      <c r="B97" s="29" t="s">
        <v>75</v>
      </c>
      <c r="C97" s="36">
        <f t="shared" si="2"/>
        <v>950</v>
      </c>
      <c r="D97" s="36">
        <f>C97</f>
        <v>950</v>
      </c>
      <c r="E97" s="80">
        <f t="shared" si="3"/>
        <v>1900</v>
      </c>
      <c r="F97" s="80">
        <f t="shared" ref="F97:F102" si="5">E97</f>
        <v>1900</v>
      </c>
      <c r="G97" s="60"/>
      <c r="H97" s="60"/>
    </row>
    <row r="98" spans="1:8" x14ac:dyDescent="0.25">
      <c r="A98" s="247"/>
      <c r="B98" s="120" t="s">
        <v>122</v>
      </c>
      <c r="C98" s="32">
        <f t="shared" si="2"/>
        <v>4370</v>
      </c>
      <c r="D98" s="32">
        <f t="shared" ref="D98:D102" si="6">C98</f>
        <v>4370</v>
      </c>
      <c r="E98" s="81">
        <f t="shared" si="3"/>
        <v>0</v>
      </c>
      <c r="F98" s="81">
        <f t="shared" si="5"/>
        <v>0</v>
      </c>
      <c r="G98" s="60"/>
      <c r="H98" s="60"/>
    </row>
    <row r="99" spans="1:8" x14ac:dyDescent="0.25">
      <c r="A99" s="247"/>
      <c r="B99" s="113" t="s">
        <v>76</v>
      </c>
      <c r="C99" s="32">
        <f t="shared" si="2"/>
        <v>4180</v>
      </c>
      <c r="D99" s="32">
        <f t="shared" si="6"/>
        <v>4180</v>
      </c>
      <c r="E99" s="81">
        <f t="shared" si="3"/>
        <v>8360</v>
      </c>
      <c r="F99" s="81">
        <f>E99</f>
        <v>8360</v>
      </c>
      <c r="G99" s="60"/>
      <c r="H99" s="60"/>
    </row>
    <row r="100" spans="1:8" x14ac:dyDescent="0.25">
      <c r="A100" s="247"/>
      <c r="B100" s="113" t="s">
        <v>107</v>
      </c>
      <c r="C100" s="32">
        <f t="shared" si="2"/>
        <v>1140</v>
      </c>
      <c r="D100" s="32">
        <f t="shared" si="6"/>
        <v>1140</v>
      </c>
      <c r="E100" s="81">
        <f t="shared" si="3"/>
        <v>0</v>
      </c>
      <c r="F100" s="81">
        <f t="shared" ref="F100:F101" si="7">E100</f>
        <v>0</v>
      </c>
      <c r="G100" s="60"/>
      <c r="H100" s="60"/>
    </row>
    <row r="101" spans="1:8" x14ac:dyDescent="0.25">
      <c r="A101" s="247"/>
      <c r="B101" s="113" t="s">
        <v>117</v>
      </c>
      <c r="C101" s="32">
        <f t="shared" si="2"/>
        <v>6935</v>
      </c>
      <c r="D101" s="32">
        <f t="shared" si="6"/>
        <v>6935</v>
      </c>
      <c r="E101" s="81">
        <f t="shared" si="3"/>
        <v>6840</v>
      </c>
      <c r="F101" s="81">
        <f t="shared" si="7"/>
        <v>6840</v>
      </c>
      <c r="G101" s="60"/>
      <c r="H101" s="60"/>
    </row>
    <row r="102" spans="1:8" x14ac:dyDescent="0.25">
      <c r="A102" s="247"/>
      <c r="B102" s="30" t="s">
        <v>92</v>
      </c>
      <c r="C102" s="34">
        <f t="shared" si="2"/>
        <v>6618.3506576468899</v>
      </c>
      <c r="D102" s="34">
        <f t="shared" si="6"/>
        <v>6618.3506576468899</v>
      </c>
      <c r="E102" s="82">
        <f t="shared" si="3"/>
        <v>10776.032481040442</v>
      </c>
      <c r="F102" s="82">
        <f t="shared" si="5"/>
        <v>10776.032481040442</v>
      </c>
      <c r="G102" s="60"/>
      <c r="H102" s="60"/>
    </row>
    <row r="103" spans="1:8" x14ac:dyDescent="0.25">
      <c r="A103" s="246" t="s">
        <v>17</v>
      </c>
      <c r="B103" s="113" t="s">
        <v>43</v>
      </c>
      <c r="C103" s="92">
        <f>(Parametros!$C$9)*Parametros!$H$39</f>
        <v>61200.000000000007</v>
      </c>
      <c r="D103" s="92">
        <f>(Parametros!$C$9)*Parametros!$I$39</f>
        <v>20400</v>
      </c>
      <c r="E103" s="92">
        <f>Parametros!$H$40*(+Parametros!$C$19)</f>
        <v>36720</v>
      </c>
      <c r="F103" s="92">
        <f>Parametros!$I$40*(Parametros!$C$19)</f>
        <v>12240</v>
      </c>
      <c r="G103" s="60"/>
      <c r="H103" s="60"/>
    </row>
    <row r="104" spans="1:8" ht="14.25" thickBot="1" x14ac:dyDescent="0.3">
      <c r="A104" s="248"/>
      <c r="B104" s="30" t="s">
        <v>93</v>
      </c>
      <c r="C104" s="98">
        <f ca="1">SUM(Parametros!$K$76:OFFSET(Parametros!$K$76,Parametros!$C$7-1,0))</f>
        <v>32860.339199999995</v>
      </c>
      <c r="D104" s="98">
        <f ca="1">SUM(Parametros!$L$76:OFFSET(Parametros!$L$76,Parametros!$C$7-1,0))</f>
        <v>10953.446399999999</v>
      </c>
      <c r="E104" s="98">
        <f ca="1">SUM(Parametros!$M$76:OFFSET(Parametros!$M$76,Parametros!$C$16-1,0))</f>
        <v>5603.9040000000014</v>
      </c>
      <c r="F104" s="98">
        <f ca="1">SUM(Parametros!$N$76:OFFSET(Parametros!$N$76,Parametros!$C$16-1,0))</f>
        <v>1867.9680000000003</v>
      </c>
      <c r="G104" s="60"/>
      <c r="H104" s="60"/>
    </row>
    <row r="105" spans="1:8" x14ac:dyDescent="0.25">
      <c r="A105" s="246" t="s">
        <v>134</v>
      </c>
      <c r="B105" s="120" t="s">
        <v>135</v>
      </c>
      <c r="C105" s="47"/>
      <c r="D105" s="47"/>
      <c r="E105" s="48">
        <f>E14</f>
        <v>17591</v>
      </c>
      <c r="F105" s="48">
        <f>E14</f>
        <v>17591</v>
      </c>
      <c r="G105" s="60"/>
      <c r="H105" s="60"/>
    </row>
    <row r="106" spans="1:8" x14ac:dyDescent="0.25">
      <c r="A106" s="247"/>
      <c r="B106" s="120" t="s">
        <v>138</v>
      </c>
      <c r="C106" s="32">
        <f>C95</f>
        <v>19000</v>
      </c>
      <c r="D106" s="32">
        <f>D95</f>
        <v>19000</v>
      </c>
      <c r="E106" s="33">
        <f>E15</f>
        <v>20409</v>
      </c>
      <c r="F106" s="33">
        <f>E15</f>
        <v>20409</v>
      </c>
      <c r="G106" s="60"/>
      <c r="H106" s="60"/>
    </row>
    <row r="107" spans="1:8" x14ac:dyDescent="0.25">
      <c r="A107" s="72" t="s">
        <v>133</v>
      </c>
      <c r="B107" s="73" t="s">
        <v>95</v>
      </c>
      <c r="C107" s="92">
        <f>Parametros!F139</f>
        <v>3139.2000000000003</v>
      </c>
      <c r="D107" s="92">
        <f>Parametros!G139</f>
        <v>1046.4000000000001</v>
      </c>
      <c r="E107" s="92">
        <f>Parametros!H139</f>
        <v>63.59040000000001</v>
      </c>
      <c r="F107" s="93">
        <f>Parametros!I139</f>
        <v>21.196800000000003</v>
      </c>
      <c r="G107" s="60"/>
      <c r="H107" s="60"/>
    </row>
    <row r="108" spans="1:8" x14ac:dyDescent="0.25">
      <c r="C108" s="64"/>
      <c r="D108" s="64"/>
      <c r="E108" s="64"/>
      <c r="G108" s="31"/>
      <c r="H108" s="31"/>
    </row>
    <row r="109" spans="1:8" ht="16.5" x14ac:dyDescent="0.3">
      <c r="A109" s="244" t="s">
        <v>96</v>
      </c>
      <c r="B109" s="244"/>
      <c r="C109" s="121">
        <f ca="1">SUM(C95:C104)</f>
        <v>137253.68985764688</v>
      </c>
      <c r="D109" s="121">
        <f ca="1">SUM(D95:D104)</f>
        <v>74546.797057646894</v>
      </c>
      <c r="E109" s="52">
        <f ca="1">SUM(E95:E104)-E105</f>
        <v>92608.936481040437</v>
      </c>
      <c r="F109" s="52">
        <f ca="1">SUM(F95:F104)-F105</f>
        <v>64393.000481040435</v>
      </c>
      <c r="G109" s="62"/>
      <c r="H109" s="62"/>
    </row>
    <row r="110" spans="1:8" ht="16.5" x14ac:dyDescent="0.3">
      <c r="A110" s="244" t="s">
        <v>97</v>
      </c>
      <c r="B110" s="244"/>
      <c r="C110" s="43">
        <f ca="1">C109/Parametros!$H$39</f>
        <v>0.38126024960457466</v>
      </c>
      <c r="D110" s="43">
        <f ca="1">D109/Parametros!$I$39</f>
        <v>0.62122330881372412</v>
      </c>
      <c r="E110" s="44">
        <f ca="1">E109/Parametros!$H$40</f>
        <v>0.25724704578066787</v>
      </c>
      <c r="F110" s="44">
        <f ca="1">F109/Parametros!$I$40</f>
        <v>0.53660833734200364</v>
      </c>
      <c r="G110" s="62"/>
      <c r="H110" s="62"/>
    </row>
    <row r="111" spans="1:8" ht="16.5" x14ac:dyDescent="0.3">
      <c r="A111" s="244" t="s">
        <v>98</v>
      </c>
      <c r="B111" s="244"/>
      <c r="C111" s="43"/>
      <c r="D111" s="43"/>
      <c r="E111" s="42"/>
      <c r="F111" s="44"/>
      <c r="G111" s="63"/>
      <c r="H111" s="63"/>
    </row>
    <row r="112" spans="1:8" x14ac:dyDescent="0.25">
      <c r="G112" s="31"/>
      <c r="H112" s="31"/>
    </row>
    <row r="113" spans="1:8" ht="16.5" x14ac:dyDescent="0.3">
      <c r="A113" s="244" t="s">
        <v>99</v>
      </c>
      <c r="B113" s="244"/>
      <c r="C113" s="121">
        <f ca="1">C109+C107</f>
        <v>140392.88985764689</v>
      </c>
      <c r="D113" s="121">
        <f ca="1">D109+D107</f>
        <v>75593.197057646888</v>
      </c>
      <c r="E113" s="52">
        <f ca="1">E109+E107</f>
        <v>92672.526881040438</v>
      </c>
      <c r="F113" s="52">
        <f ca="1">F109+F107</f>
        <v>64414.197281040433</v>
      </c>
      <c r="G113" s="62"/>
      <c r="H113" s="62"/>
    </row>
    <row r="114" spans="1:8" ht="16.5" x14ac:dyDescent="0.3">
      <c r="A114" s="244" t="s">
        <v>100</v>
      </c>
      <c r="B114" s="244"/>
      <c r="C114" s="43">
        <f ca="1">C113/Parametros!$H$39</f>
        <v>0.38998024960457472</v>
      </c>
      <c r="D114" s="43">
        <f ca="1">D113/Parametros!$I$39</f>
        <v>0.62994330881372407</v>
      </c>
      <c r="E114" s="44">
        <f ca="1">E113/Parametros!$H$40</f>
        <v>0.25742368578066788</v>
      </c>
      <c r="F114" s="44">
        <f ca="1">F113/Parametros!$I$40</f>
        <v>0.53678497734200359</v>
      </c>
      <c r="G114" s="62"/>
      <c r="H114" s="62"/>
    </row>
    <row r="115" spans="1:8" ht="16.5" x14ac:dyDescent="0.3">
      <c r="A115" s="244" t="s">
        <v>98</v>
      </c>
      <c r="B115" s="244"/>
      <c r="C115" s="43"/>
      <c r="D115" s="43"/>
      <c r="E115" s="42"/>
      <c r="F115" s="44"/>
      <c r="G115" s="63"/>
      <c r="H115" s="63"/>
    </row>
    <row r="117" spans="1:8" x14ac:dyDescent="0.25">
      <c r="A117" s="245" t="s">
        <v>103</v>
      </c>
      <c r="B117" s="245"/>
      <c r="C117" s="245"/>
      <c r="D117" s="245"/>
      <c r="E117" s="245"/>
      <c r="F117" s="245"/>
      <c r="G117" s="61"/>
      <c r="H117" s="61"/>
    </row>
    <row r="118" spans="1:8" x14ac:dyDescent="0.25">
      <c r="C118" s="38" t="s">
        <v>20</v>
      </c>
      <c r="D118" s="38" t="s">
        <v>142</v>
      </c>
      <c r="E118" s="38" t="s">
        <v>143</v>
      </c>
      <c r="F118" s="39" t="s">
        <v>22</v>
      </c>
      <c r="G118" s="39" t="s">
        <v>144</v>
      </c>
      <c r="H118" s="39" t="s">
        <v>145</v>
      </c>
    </row>
    <row r="119" spans="1:8" ht="14.25" thickBot="1" x14ac:dyDescent="0.3">
      <c r="B119" s="28"/>
      <c r="C119" s="31"/>
      <c r="D119" s="31"/>
      <c r="E119" s="31"/>
      <c r="F119" s="31"/>
      <c r="G119" s="31"/>
      <c r="H119" s="31"/>
    </row>
    <row r="120" spans="1:8" ht="14.25" thickBot="1" x14ac:dyDescent="0.3">
      <c r="A120" s="246" t="s">
        <v>15</v>
      </c>
      <c r="B120" s="29" t="s">
        <v>138</v>
      </c>
      <c r="C120" s="54">
        <f t="shared" ref="C120:C131" si="8">C37</f>
        <v>7.9166666666666663E-2</v>
      </c>
      <c r="D120" s="54">
        <f>C106/Parametros!$H$39</f>
        <v>5.2777777777777778E-2</v>
      </c>
      <c r="E120" s="54">
        <f>D106/Parametros!$I$39</f>
        <v>0.15833333333333333</v>
      </c>
      <c r="F120" s="83">
        <f t="shared" ref="F120:F131" si="9">D37</f>
        <v>8.5037500000000002E-2</v>
      </c>
      <c r="G120" s="83">
        <f>E106/Parametros!$H$40</f>
        <v>5.6691666666666668E-2</v>
      </c>
      <c r="H120" s="83">
        <f>F106/Parametros!$I$40</f>
        <v>0.170075</v>
      </c>
    </row>
    <row r="121" spans="1:8" x14ac:dyDescent="0.25">
      <c r="A121" s="247"/>
      <c r="B121" s="29" t="s">
        <v>165</v>
      </c>
      <c r="C121" s="54">
        <f t="shared" si="8"/>
        <v>7.9166666666666663E-2</v>
      </c>
      <c r="D121" s="54">
        <f>C95/Parametros!$H$39</f>
        <v>5.2777777777777778E-2</v>
      </c>
      <c r="E121" s="54">
        <f>D95/Parametros!$I$39</f>
        <v>0.15833333333333333</v>
      </c>
      <c r="F121" s="83">
        <f t="shared" si="9"/>
        <v>0.15833333333333333</v>
      </c>
      <c r="G121" s="83">
        <f>E95/Parametros!$H$40</f>
        <v>0.10555555555555556</v>
      </c>
      <c r="H121" s="83">
        <f>F95/Parametros!$I$40</f>
        <v>0.31666666666666665</v>
      </c>
    </row>
    <row r="122" spans="1:8" x14ac:dyDescent="0.25">
      <c r="A122" s="248"/>
      <c r="B122" s="113" t="s">
        <v>86</v>
      </c>
      <c r="C122" s="55">
        <f t="shared" si="8"/>
        <v>0</v>
      </c>
      <c r="D122" s="55">
        <f>C96/Parametros!$H$39</f>
        <v>0</v>
      </c>
      <c r="E122" s="55">
        <f>D96/Parametros!$I$39</f>
        <v>0</v>
      </c>
      <c r="F122" s="84">
        <f t="shared" si="9"/>
        <v>8.3333333333333332E-3</v>
      </c>
      <c r="G122" s="84">
        <f>E96/Parametros!$H$40</f>
        <v>5.5555555555555558E-3</v>
      </c>
      <c r="H122" s="84">
        <f>F96/Parametros!$I$40</f>
        <v>1.6666666666666666E-2</v>
      </c>
    </row>
    <row r="123" spans="1:8" x14ac:dyDescent="0.25">
      <c r="A123" s="246" t="s">
        <v>16</v>
      </c>
      <c r="B123" s="29" t="s">
        <v>75</v>
      </c>
      <c r="C123" s="57">
        <f t="shared" si="8"/>
        <v>3.9583333333333337E-3</v>
      </c>
      <c r="D123" s="57">
        <f>C97/Parametros!$H$39</f>
        <v>2.638888888888889E-3</v>
      </c>
      <c r="E123" s="57">
        <f>D97/Parametros!$I$39</f>
        <v>7.9166666666666673E-3</v>
      </c>
      <c r="F123" s="86">
        <f t="shared" si="9"/>
        <v>7.9166666666666673E-3</v>
      </c>
      <c r="G123" s="86">
        <f>E97/Parametros!$H$40</f>
        <v>5.2777777777777779E-3</v>
      </c>
      <c r="H123" s="86">
        <f>F97/Parametros!$I$40</f>
        <v>1.5833333333333335E-2</v>
      </c>
    </row>
    <row r="124" spans="1:8" x14ac:dyDescent="0.25">
      <c r="A124" s="247"/>
      <c r="B124" s="120" t="s">
        <v>122</v>
      </c>
      <c r="C124" s="55">
        <f t="shared" si="8"/>
        <v>1.8208333333333333E-2</v>
      </c>
      <c r="D124" s="55">
        <f>C98/Parametros!$H$39</f>
        <v>1.2138888888888888E-2</v>
      </c>
      <c r="E124" s="55">
        <f>D98/Parametros!$I$39</f>
        <v>3.6416666666666667E-2</v>
      </c>
      <c r="F124" s="84">
        <f t="shared" si="9"/>
        <v>0</v>
      </c>
      <c r="G124" s="84">
        <f>E98/Parametros!$H$40</f>
        <v>0</v>
      </c>
      <c r="H124" s="84">
        <f>F98/Parametros!$I$40</f>
        <v>0</v>
      </c>
    </row>
    <row r="125" spans="1:8" x14ac:dyDescent="0.25">
      <c r="A125" s="247"/>
      <c r="B125" s="113" t="s">
        <v>76</v>
      </c>
      <c r="C125" s="55">
        <f t="shared" si="8"/>
        <v>1.7416666666666667E-2</v>
      </c>
      <c r="D125" s="55">
        <f>C99/Parametros!$H$39</f>
        <v>1.161111111111111E-2</v>
      </c>
      <c r="E125" s="55">
        <f>D99/Parametros!$I$39</f>
        <v>3.4833333333333334E-2</v>
      </c>
      <c r="F125" s="84">
        <f t="shared" si="9"/>
        <v>3.4833333333333334E-2</v>
      </c>
      <c r="G125" s="84">
        <f>E99/Parametros!$H$40</f>
        <v>2.322222222222222E-2</v>
      </c>
      <c r="H125" s="84">
        <f>F99/Parametros!$I$40</f>
        <v>6.9666666666666668E-2</v>
      </c>
    </row>
    <row r="126" spans="1:8" x14ac:dyDescent="0.25">
      <c r="A126" s="247"/>
      <c r="B126" s="113" t="s">
        <v>107</v>
      </c>
      <c r="C126" s="55">
        <f t="shared" si="8"/>
        <v>4.7499999999999999E-3</v>
      </c>
      <c r="D126" s="55">
        <f>C100/Parametros!$H$39</f>
        <v>3.1666666666666666E-3</v>
      </c>
      <c r="E126" s="55">
        <f>D100/Parametros!$I$39</f>
        <v>9.4999999999999998E-3</v>
      </c>
      <c r="F126" s="84">
        <f t="shared" si="9"/>
        <v>0</v>
      </c>
      <c r="G126" s="84">
        <f>E100/Parametros!$H$40</f>
        <v>0</v>
      </c>
      <c r="H126" s="84">
        <f>F100/Parametros!$I$40</f>
        <v>0</v>
      </c>
    </row>
    <row r="127" spans="1:8" x14ac:dyDescent="0.25">
      <c r="A127" s="247"/>
      <c r="B127" s="113" t="s">
        <v>117</v>
      </c>
      <c r="C127" s="55">
        <f t="shared" si="8"/>
        <v>2.8895833333333332E-2</v>
      </c>
      <c r="D127" s="55">
        <f>C101/Parametros!$H$39</f>
        <v>1.9263888888888889E-2</v>
      </c>
      <c r="E127" s="55">
        <f>D101/Parametros!$I$39</f>
        <v>5.7791666666666665E-2</v>
      </c>
      <c r="F127" s="84">
        <f t="shared" si="9"/>
        <v>2.8500000000000001E-2</v>
      </c>
      <c r="G127" s="84">
        <f>E101/Parametros!$H$40</f>
        <v>1.9E-2</v>
      </c>
      <c r="H127" s="84">
        <f>F101/Parametros!$I$40</f>
        <v>5.7000000000000002E-2</v>
      </c>
    </row>
    <row r="128" spans="1:8" x14ac:dyDescent="0.25">
      <c r="A128" s="247"/>
      <c r="B128" s="30" t="s">
        <v>92</v>
      </c>
      <c r="C128" s="56">
        <f t="shared" si="8"/>
        <v>2.7576461073528707E-2</v>
      </c>
      <c r="D128" s="56">
        <f>C102/Parametros!$H$39</f>
        <v>1.8384307382352472E-2</v>
      </c>
      <c r="E128" s="56">
        <f>D102/Parametros!$I$39</f>
        <v>5.5152922147057415E-2</v>
      </c>
      <c r="F128" s="85">
        <f t="shared" si="9"/>
        <v>4.4900135337668505E-2</v>
      </c>
      <c r="G128" s="85">
        <f>E102/Parametros!$H$40</f>
        <v>2.9933423558445672E-2</v>
      </c>
      <c r="H128" s="85">
        <f>F102/Parametros!$I$40</f>
        <v>8.980027067533701E-2</v>
      </c>
    </row>
    <row r="129" spans="1:11" x14ac:dyDescent="0.25">
      <c r="A129" s="246" t="s">
        <v>17</v>
      </c>
      <c r="B129" s="113" t="s">
        <v>43</v>
      </c>
      <c r="C129" s="55">
        <f t="shared" si="8"/>
        <v>0.17</v>
      </c>
      <c r="D129" s="55">
        <f>C103/Parametros!$H$39</f>
        <v>0.17</v>
      </c>
      <c r="E129" s="55">
        <f>D103/Parametros!$I$39</f>
        <v>0.17</v>
      </c>
      <c r="F129" s="84">
        <f t="shared" si="9"/>
        <v>0.10199999999999999</v>
      </c>
      <c r="G129" s="84">
        <f>E103/Parametros!$H$40</f>
        <v>0.10199999999999999</v>
      </c>
      <c r="H129" s="84">
        <f>F103/Parametros!$I$40</f>
        <v>0.10199999999999999</v>
      </c>
    </row>
    <row r="130" spans="1:11" ht="14.25" thickBot="1" x14ac:dyDescent="0.3">
      <c r="A130" s="248"/>
      <c r="B130" s="30" t="s">
        <v>93</v>
      </c>
      <c r="C130" s="58">
        <f t="shared" ca="1" si="8"/>
        <v>9.1278719999999994E-2</v>
      </c>
      <c r="D130" s="58">
        <f ca="1">C104/Parametros!$H$39</f>
        <v>9.127871999999998E-2</v>
      </c>
      <c r="E130" s="58">
        <f ca="1">D104/Parametros!$I$39</f>
        <v>9.1278719999999994E-2</v>
      </c>
      <c r="F130" s="87">
        <f t="shared" ca="1" si="9"/>
        <v>1.5566400000000003E-2</v>
      </c>
      <c r="G130" s="87">
        <f ca="1">E104/Parametros!$H$40</f>
        <v>1.5566400000000005E-2</v>
      </c>
      <c r="H130" s="87">
        <f ca="1">F104/Parametros!$I$40</f>
        <v>1.5566400000000003E-2</v>
      </c>
    </row>
    <row r="131" spans="1:11" x14ac:dyDescent="0.25">
      <c r="A131" s="72" t="s">
        <v>94</v>
      </c>
      <c r="B131" s="73" t="s">
        <v>95</v>
      </c>
      <c r="C131" s="55">
        <f t="shared" si="8"/>
        <v>8.7200000000000003E-3</v>
      </c>
      <c r="D131" s="55">
        <f>C107/Parametros!$H$39</f>
        <v>8.7200000000000003E-3</v>
      </c>
      <c r="E131" s="55">
        <f>D107/Parametros!$I$39</f>
        <v>8.7200000000000003E-3</v>
      </c>
      <c r="F131" s="84">
        <f t="shared" si="9"/>
        <v>1.7664000000000002E-4</v>
      </c>
      <c r="G131" s="84">
        <f>E107/Parametros!$H$40</f>
        <v>1.7664000000000002E-4</v>
      </c>
      <c r="H131" s="84">
        <f>F107/Parametros!$I$40</f>
        <v>1.7664000000000002E-4</v>
      </c>
    </row>
    <row r="132" spans="1:11" x14ac:dyDescent="0.25">
      <c r="B132" s="88" t="s">
        <v>162</v>
      </c>
      <c r="C132" s="89">
        <f ca="1">SUM(C120,C122:C131)</f>
        <v>0.44997101440686205</v>
      </c>
      <c r="D132" s="89">
        <f t="shared" ref="D132:H132" ca="1" si="10">SUM(D120,D122:D131)</f>
        <v>0.38998024960457467</v>
      </c>
      <c r="E132" s="89">
        <f t="shared" ca="1" si="10"/>
        <v>0.62994330881372407</v>
      </c>
      <c r="F132" s="89">
        <f t="shared" ca="1" si="10"/>
        <v>0.3272640086710018</v>
      </c>
      <c r="G132" s="89">
        <f t="shared" ca="1" si="10"/>
        <v>0.25742368578066788</v>
      </c>
      <c r="H132" s="89">
        <f t="shared" ca="1" si="10"/>
        <v>0.53678497734200359</v>
      </c>
    </row>
    <row r="133" spans="1:11" x14ac:dyDescent="0.25">
      <c r="B133" s="88" t="s">
        <v>161</v>
      </c>
      <c r="C133" s="89">
        <f ca="1">SUM(C121:C131)</f>
        <v>0.44997101440686205</v>
      </c>
      <c r="D133" s="89">
        <f t="shared" ref="D133:H133" ca="1" si="11">SUM(D121:D131)</f>
        <v>0.38998024960457467</v>
      </c>
      <c r="E133" s="89">
        <f t="shared" ca="1" si="11"/>
        <v>0.62994330881372407</v>
      </c>
      <c r="F133" s="89">
        <f t="shared" ca="1" si="11"/>
        <v>0.40055984200433509</v>
      </c>
      <c r="G133" s="89">
        <f t="shared" ca="1" si="11"/>
        <v>0.30628757466955675</v>
      </c>
      <c r="H133" s="89">
        <f t="shared" ca="1" si="11"/>
        <v>0.68337664400867015</v>
      </c>
    </row>
    <row r="134" spans="1:11" x14ac:dyDescent="0.25">
      <c r="B134" s="88"/>
      <c r="C134" s="89"/>
      <c r="D134" s="89"/>
      <c r="E134" s="89"/>
      <c r="F134" s="89"/>
      <c r="G134" s="89"/>
      <c r="H134" s="89"/>
    </row>
    <row r="135" spans="1:11" x14ac:dyDescent="0.25">
      <c r="B135" s="243" t="s">
        <v>163</v>
      </c>
      <c r="C135" s="243"/>
      <c r="D135" s="243"/>
      <c r="E135" s="243"/>
      <c r="F135" s="243"/>
      <c r="G135" s="89"/>
      <c r="H135" s="89"/>
    </row>
    <row r="136" spans="1:11" x14ac:dyDescent="0.25">
      <c r="C136" s="3" t="s">
        <v>146</v>
      </c>
      <c r="D136" s="3" t="s">
        <v>147</v>
      </c>
      <c r="E136" s="3" t="s">
        <v>20</v>
      </c>
      <c r="F136" s="3" t="s">
        <v>22</v>
      </c>
    </row>
    <row r="137" spans="1:11" x14ac:dyDescent="0.25">
      <c r="B137" s="90">
        <f>Parametros!I38</f>
        <v>15000</v>
      </c>
      <c r="C137" s="89">
        <f ca="1">E132</f>
        <v>0.62994330881372407</v>
      </c>
      <c r="D137" s="89">
        <f ca="1">H132</f>
        <v>0.53678497734200359</v>
      </c>
      <c r="E137" s="91">
        <f ca="1">C137/$C$138-1</f>
        <v>0.39996419468061961</v>
      </c>
      <c r="F137" s="91">
        <f ca="1">D137/$D$138-1</f>
        <v>0.64022001539935003</v>
      </c>
    </row>
    <row r="138" spans="1:11" x14ac:dyDescent="0.25">
      <c r="B138" s="109">
        <f>Parametros!C38</f>
        <v>30000</v>
      </c>
      <c r="C138" s="89">
        <f ca="1">C132</f>
        <v>0.44997101440686205</v>
      </c>
      <c r="D138" s="89">
        <f ca="1">F132</f>
        <v>0.3272640086710018</v>
      </c>
      <c r="E138" s="91">
        <f ca="1">C138/$C$138-1</f>
        <v>0</v>
      </c>
      <c r="F138" s="91">
        <f ca="1">D138/$D$138-1</f>
        <v>0</v>
      </c>
    </row>
    <row r="139" spans="1:11" x14ac:dyDescent="0.25">
      <c r="B139" s="90">
        <f>Parametros!H38</f>
        <v>45000</v>
      </c>
      <c r="C139" s="89">
        <f ca="1">D132</f>
        <v>0.38998024960457467</v>
      </c>
      <c r="D139" s="89">
        <f ca="1">G132</f>
        <v>0.25742368578066788</v>
      </c>
      <c r="E139" s="91">
        <f ca="1">C139/$C$138-1</f>
        <v>-0.13332139822687328</v>
      </c>
      <c r="F139" s="91">
        <f ca="1">D139/$D$138-1</f>
        <v>-0.21340667179978334</v>
      </c>
    </row>
    <row r="140" spans="1:11" ht="16.5" x14ac:dyDescent="0.3">
      <c r="C140" s="62"/>
      <c r="D140" s="62"/>
      <c r="E140" s="62"/>
      <c r="F140" s="62"/>
    </row>
    <row r="141" spans="1:11" ht="16.5" x14ac:dyDescent="0.3">
      <c r="B141" s="90"/>
      <c r="C141" s="62"/>
      <c r="D141" s="62"/>
      <c r="E141" s="62"/>
      <c r="F141" s="62"/>
    </row>
    <row r="142" spans="1:11" ht="16.5" x14ac:dyDescent="0.3">
      <c r="B142" s="90"/>
      <c r="C142" s="62"/>
      <c r="D142" s="62"/>
      <c r="E142" s="62"/>
      <c r="F142" s="62"/>
    </row>
    <row r="143" spans="1:11" ht="16.5" x14ac:dyDescent="0.3">
      <c r="B143" s="90"/>
      <c r="C143" s="62"/>
      <c r="D143" s="62"/>
      <c r="E143" s="62"/>
      <c r="F143" s="62"/>
    </row>
    <row r="144" spans="1:11" ht="16.5" x14ac:dyDescent="0.3">
      <c r="C144" s="62"/>
      <c r="D144" s="62"/>
      <c r="E144" s="62"/>
      <c r="F144" s="62"/>
      <c r="J144" s="60"/>
      <c r="K144" s="60"/>
    </row>
    <row r="145" spans="2:11" ht="16.5" x14ac:dyDescent="0.3">
      <c r="C145" s="62"/>
      <c r="D145" s="62"/>
      <c r="E145" s="62"/>
      <c r="F145" s="62"/>
      <c r="J145" s="60"/>
      <c r="K145" s="60"/>
    </row>
    <row r="146" spans="2:11" x14ac:dyDescent="0.25">
      <c r="J146" s="60"/>
      <c r="K146" s="60"/>
    </row>
    <row r="147" spans="2:11" x14ac:dyDescent="0.25">
      <c r="J147" s="31"/>
      <c r="K147" s="31"/>
    </row>
    <row r="148" spans="2:11" ht="16.5" x14ac:dyDescent="0.3">
      <c r="B148" s="243" t="s">
        <v>164</v>
      </c>
      <c r="C148" s="243"/>
      <c r="D148" s="243"/>
      <c r="E148" s="243"/>
      <c r="F148" s="243"/>
      <c r="J148" s="62"/>
      <c r="K148" s="62"/>
    </row>
    <row r="149" spans="2:11" ht="16.5" x14ac:dyDescent="0.3">
      <c r="C149" s="3" t="s">
        <v>146</v>
      </c>
      <c r="D149" s="3" t="s">
        <v>147</v>
      </c>
      <c r="E149" s="3" t="s">
        <v>20</v>
      </c>
      <c r="F149" s="3" t="s">
        <v>22</v>
      </c>
      <c r="J149" s="62"/>
      <c r="K149" s="62"/>
    </row>
    <row r="150" spans="2:11" ht="16.5" x14ac:dyDescent="0.3">
      <c r="B150" s="90">
        <f>B137</f>
        <v>15000</v>
      </c>
      <c r="C150" s="89">
        <f ca="1">E133</f>
        <v>0.62994330881372407</v>
      </c>
      <c r="D150" s="89">
        <f ca="1">H133</f>
        <v>0.68337664400867015</v>
      </c>
      <c r="E150" s="91">
        <f ca="1">C150/$C$138-1</f>
        <v>0.39996419468061961</v>
      </c>
      <c r="F150" s="91">
        <f ca="1">D150/$D$138-1</f>
        <v>1.0881509298374086</v>
      </c>
      <c r="J150" s="63"/>
      <c r="K150" s="63"/>
    </row>
    <row r="151" spans="2:11" x14ac:dyDescent="0.25">
      <c r="B151" s="109">
        <f t="shared" ref="B151:B152" si="12">B138</f>
        <v>30000</v>
      </c>
      <c r="C151" s="89">
        <f ca="1">C133</f>
        <v>0.44997101440686205</v>
      </c>
      <c r="D151" s="89">
        <f ca="1">F133</f>
        <v>0.40055984200433509</v>
      </c>
      <c r="E151" s="91">
        <f ca="1">C151/$C$138-1</f>
        <v>0</v>
      </c>
      <c r="F151" s="91">
        <f ca="1">D151/$D$138-1</f>
        <v>0.22396545721902927</v>
      </c>
      <c r="J151" s="31"/>
      <c r="K151" s="31"/>
    </row>
    <row r="152" spans="2:11" ht="16.5" x14ac:dyDescent="0.3">
      <c r="B152" s="90">
        <f t="shared" si="12"/>
        <v>45000</v>
      </c>
      <c r="C152" s="89">
        <f ca="1">D133</f>
        <v>0.38998024960457467</v>
      </c>
      <c r="D152" s="89">
        <f ca="1">G133</f>
        <v>0.30628757466955675</v>
      </c>
      <c r="E152" s="91">
        <f ca="1">C152/$C$138-1</f>
        <v>-0.13332139822687328</v>
      </c>
      <c r="F152" s="91">
        <f ca="1">D152/$D$138-1</f>
        <v>-6.4096366987097086E-2</v>
      </c>
      <c r="J152" s="62"/>
      <c r="K152" s="62"/>
    </row>
    <row r="153" spans="2:11" ht="16.5" x14ac:dyDescent="0.3">
      <c r="J153" s="62"/>
      <c r="K153" s="62"/>
    </row>
    <row r="154" spans="2:11" ht="16.5" x14ac:dyDescent="0.3">
      <c r="J154" s="62"/>
      <c r="K154" s="62"/>
    </row>
    <row r="158" spans="2:11" ht="14.25" x14ac:dyDescent="0.25">
      <c r="C158" s="240" t="s">
        <v>154</v>
      </c>
      <c r="D158" s="241" t="s">
        <v>155</v>
      </c>
      <c r="E158" s="236" t="s">
        <v>167</v>
      </c>
      <c r="F158" s="237"/>
      <c r="G158" s="234" t="s">
        <v>137</v>
      </c>
      <c r="H158" s="242"/>
      <c r="I158" s="242"/>
      <c r="J158" s="235"/>
    </row>
    <row r="159" spans="2:11" ht="14.25" x14ac:dyDescent="0.25">
      <c r="C159" s="240"/>
      <c r="D159" s="241"/>
      <c r="E159" s="238"/>
      <c r="F159" s="239"/>
      <c r="G159" s="234" t="s">
        <v>159</v>
      </c>
      <c r="H159" s="235"/>
      <c r="I159" s="234" t="s">
        <v>160</v>
      </c>
      <c r="J159" s="235"/>
    </row>
    <row r="160" spans="2:11" ht="14.25" x14ac:dyDescent="0.25">
      <c r="C160" s="240"/>
      <c r="D160" s="241"/>
      <c r="E160" s="127" t="s">
        <v>1</v>
      </c>
      <c r="F160" s="127" t="s">
        <v>3</v>
      </c>
      <c r="G160" s="127" t="s">
        <v>1</v>
      </c>
      <c r="H160" s="127" t="s">
        <v>3</v>
      </c>
      <c r="I160" s="127" t="s">
        <v>1</v>
      </c>
      <c r="J160" s="127" t="s">
        <v>3</v>
      </c>
    </row>
    <row r="161" spans="3:10" ht="16.5" x14ac:dyDescent="0.25">
      <c r="C161" s="135" t="s">
        <v>156</v>
      </c>
      <c r="D161" s="135">
        <f>Parametros!$I$38</f>
        <v>15000</v>
      </c>
      <c r="E161" s="136">
        <f ca="1">F161*D161*Parametros!$C$7</f>
        <v>75593.197057646888</v>
      </c>
      <c r="F161" s="137">
        <f ca="1">C137</f>
        <v>0.62994330881372407</v>
      </c>
      <c r="G161" s="136">
        <f ca="1">H161*D161*Parametros!$C$16</f>
        <v>64414.197281040433</v>
      </c>
      <c r="H161" s="137">
        <f ca="1">D137</f>
        <v>0.53678497734200359</v>
      </c>
      <c r="I161" s="136">
        <f ca="1">J161*D161*Parametros!$C$16</f>
        <v>82005.197281040411</v>
      </c>
      <c r="J161" s="137">
        <f ca="1">D150</f>
        <v>0.68337664400867015</v>
      </c>
    </row>
    <row r="162" spans="3:10" ht="16.5" x14ac:dyDescent="0.25">
      <c r="C162" s="131" t="s">
        <v>157</v>
      </c>
      <c r="D162" s="132">
        <f>Parametros!$C$38</f>
        <v>30000</v>
      </c>
      <c r="E162" s="133">
        <f ca="1">F162*D162*Parametros!$C$7</f>
        <v>107993.0434576469</v>
      </c>
      <c r="F162" s="134">
        <f ca="1">C138</f>
        <v>0.44997101440686205</v>
      </c>
      <c r="G162" s="133">
        <f ca="1">H162*D162*Parametros!$C$16</f>
        <v>78543.362081040439</v>
      </c>
      <c r="H162" s="134">
        <f t="shared" ref="H162:H163" ca="1" si="13">D138</f>
        <v>0.3272640086710018</v>
      </c>
      <c r="I162" s="133">
        <f ca="1">J162*D162*Parametros!$C$16</f>
        <v>96134.362081040425</v>
      </c>
      <c r="J162" s="134">
        <f ca="1">D151</f>
        <v>0.40055984200433509</v>
      </c>
    </row>
    <row r="163" spans="3:10" ht="16.5" x14ac:dyDescent="0.25">
      <c r="C163" s="128" t="s">
        <v>158</v>
      </c>
      <c r="D163" s="128">
        <f>Parametros!$H$38</f>
        <v>45000</v>
      </c>
      <c r="E163" s="129">
        <f ca="1">F163*D163*Parametros!$C$7</f>
        <v>140392.88985764689</v>
      </c>
      <c r="F163" s="130">
        <f ca="1">C139</f>
        <v>0.38998024960457467</v>
      </c>
      <c r="G163" s="129">
        <f ca="1">H163*D163*Parametros!$C$16</f>
        <v>92672.526881040438</v>
      </c>
      <c r="H163" s="130">
        <f t="shared" ca="1" si="13"/>
        <v>0.25742368578066788</v>
      </c>
      <c r="I163" s="129">
        <f ca="1">J163*D163*Parametros!$C$16</f>
        <v>110263.52688104042</v>
      </c>
      <c r="J163" s="130">
        <f ca="1">D152</f>
        <v>0.30628757466955675</v>
      </c>
    </row>
    <row r="167" spans="3:10" x14ac:dyDescent="0.25">
      <c r="I167" s="126"/>
    </row>
    <row r="168" spans="3:10" x14ac:dyDescent="0.25">
      <c r="I168" s="126"/>
    </row>
    <row r="169" spans="3:10" x14ac:dyDescent="0.25">
      <c r="I169" s="126"/>
    </row>
  </sheetData>
  <mergeCells count="40">
    <mergeCell ref="A103:A104"/>
    <mergeCell ref="A120:A122"/>
    <mergeCell ref="A111:B111"/>
    <mergeCell ref="A40:A45"/>
    <mergeCell ref="A46:A47"/>
    <mergeCell ref="A95:A96"/>
    <mergeCell ref="A97:A102"/>
    <mergeCell ref="A92:F92"/>
    <mergeCell ref="A105:A106"/>
    <mergeCell ref="A28:B28"/>
    <mergeCell ref="A23:B23"/>
    <mergeCell ref="A34:F34"/>
    <mergeCell ref="A37:A39"/>
    <mergeCell ref="A1:F1"/>
    <mergeCell ref="A6:A11"/>
    <mergeCell ref="A12:A13"/>
    <mergeCell ref="A4:A5"/>
    <mergeCell ref="A14:A15"/>
    <mergeCell ref="A22:B22"/>
    <mergeCell ref="B135:F135"/>
    <mergeCell ref="B148:F148"/>
    <mergeCell ref="G159:H159"/>
    <mergeCell ref="A24:B24"/>
    <mergeCell ref="A26:B26"/>
    <mergeCell ref="A27:B27"/>
    <mergeCell ref="A30:B30"/>
    <mergeCell ref="A31:B31"/>
    <mergeCell ref="A117:F117"/>
    <mergeCell ref="A113:B113"/>
    <mergeCell ref="A114:B114"/>
    <mergeCell ref="A115:B115"/>
    <mergeCell ref="A109:B109"/>
    <mergeCell ref="A110:B110"/>
    <mergeCell ref="A123:A128"/>
    <mergeCell ref="A129:A130"/>
    <mergeCell ref="I159:J159"/>
    <mergeCell ref="E158:F159"/>
    <mergeCell ref="C158:C160"/>
    <mergeCell ref="D158:D160"/>
    <mergeCell ref="G158:J15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5664F-B292-40D3-BC0F-4802AF9C201C}">
  <dimension ref="A1:AU89"/>
  <sheetViews>
    <sheetView workbookViewId="0">
      <selection sqref="A1:B1"/>
    </sheetView>
  </sheetViews>
  <sheetFormatPr baseColWidth="10" defaultColWidth="0" defaultRowHeight="14.45" customHeight="1" zeroHeight="1" x14ac:dyDescent="0.25"/>
  <cols>
    <col min="1" max="1" width="19" bestFit="1" customWidth="1"/>
    <col min="2" max="2" width="36.42578125" bestFit="1" customWidth="1"/>
    <col min="3" max="4" width="9.140625" customWidth="1"/>
    <col min="5" max="5" width="20.28515625" bestFit="1" customWidth="1"/>
    <col min="6" max="34" width="9.140625" customWidth="1"/>
    <col min="35" max="35" width="10.42578125" bestFit="1" customWidth="1"/>
    <col min="36" max="36" width="9.140625" customWidth="1"/>
    <col min="37" max="37" width="6.28515625" customWidth="1"/>
    <col min="38" max="42" width="9.140625" customWidth="1"/>
    <col min="43" max="43" width="5" customWidth="1"/>
    <col min="44" max="47" width="0" hidden="1" customWidth="1"/>
    <col min="48" max="16384" width="9.140625" hidden="1"/>
  </cols>
  <sheetData>
    <row r="1" spans="1:36" ht="18.75" x14ac:dyDescent="0.3">
      <c r="A1" s="252" t="s">
        <v>213</v>
      </c>
      <c r="B1" s="252"/>
      <c r="C1" s="175"/>
      <c r="D1" s="176"/>
      <c r="E1" s="175"/>
      <c r="F1" s="175"/>
      <c r="G1" s="177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8.75" x14ac:dyDescent="0.3">
      <c r="A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</row>
    <row r="3" spans="1:36" ht="15" x14ac:dyDescent="0.25">
      <c r="A3" s="253" t="s">
        <v>206</v>
      </c>
      <c r="B3" s="253"/>
      <c r="C3" s="180">
        <v>0</v>
      </c>
    </row>
    <row r="4" spans="1:36" ht="15" x14ac:dyDescent="0.25">
      <c r="A4" s="254" t="s">
        <v>207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181"/>
    </row>
    <row r="5" spans="1:36" ht="15" x14ac:dyDescent="0.25">
      <c r="A5" s="99"/>
      <c r="E5" s="182">
        <v>0</v>
      </c>
      <c r="F5" s="182">
        <v>1</v>
      </c>
      <c r="G5" s="182">
        <v>2</v>
      </c>
      <c r="H5" s="182">
        <v>3</v>
      </c>
      <c r="I5" s="182">
        <v>4</v>
      </c>
      <c r="J5" s="182">
        <v>5</v>
      </c>
      <c r="K5" s="182">
        <v>6</v>
      </c>
      <c r="L5" s="182">
        <v>7</v>
      </c>
      <c r="M5" s="182">
        <v>8</v>
      </c>
      <c r="N5" s="182">
        <v>9</v>
      </c>
      <c r="O5" s="182">
        <v>10</v>
      </c>
      <c r="P5" s="182">
        <v>11</v>
      </c>
      <c r="Q5" s="182">
        <v>12</v>
      </c>
      <c r="R5" s="182">
        <v>13</v>
      </c>
      <c r="S5" s="182">
        <v>14</v>
      </c>
      <c r="T5" s="182">
        <v>15</v>
      </c>
      <c r="U5" s="182">
        <v>16</v>
      </c>
      <c r="V5" s="182">
        <v>17</v>
      </c>
      <c r="W5" s="182">
        <v>18</v>
      </c>
      <c r="X5" s="182">
        <v>19</v>
      </c>
      <c r="Y5" s="182">
        <v>20</v>
      </c>
      <c r="Z5" s="182">
        <v>21</v>
      </c>
      <c r="AA5" s="182">
        <v>22</v>
      </c>
      <c r="AB5" s="182">
        <v>23</v>
      </c>
      <c r="AC5" s="182">
        <v>24</v>
      </c>
      <c r="AD5" s="182">
        <v>25</v>
      </c>
      <c r="AE5" s="182">
        <v>26</v>
      </c>
      <c r="AF5" s="182">
        <v>27</v>
      </c>
      <c r="AG5" s="182">
        <v>28</v>
      </c>
      <c r="AJ5" s="183"/>
    </row>
    <row r="6" spans="1:36" ht="15" x14ac:dyDescent="0.25">
      <c r="A6" s="249" t="s">
        <v>208</v>
      </c>
      <c r="B6" s="249"/>
      <c r="C6" s="181" t="s">
        <v>1</v>
      </c>
      <c r="E6" s="184">
        <v>2022</v>
      </c>
      <c r="F6" s="184">
        <f>+E6+1</f>
        <v>2023</v>
      </c>
      <c r="G6" s="185">
        <f t="shared" ref="G6:AG6" si="0">+F6+1</f>
        <v>2024</v>
      </c>
      <c r="H6" s="185">
        <f t="shared" si="0"/>
        <v>2025</v>
      </c>
      <c r="I6" s="185">
        <f t="shared" si="0"/>
        <v>2026</v>
      </c>
      <c r="J6" s="185">
        <f t="shared" si="0"/>
        <v>2027</v>
      </c>
      <c r="K6" s="185">
        <f t="shared" si="0"/>
        <v>2028</v>
      </c>
      <c r="L6" s="185">
        <f t="shared" si="0"/>
        <v>2029</v>
      </c>
      <c r="M6" s="185">
        <f t="shared" si="0"/>
        <v>2030</v>
      </c>
      <c r="N6" s="185">
        <f t="shared" si="0"/>
        <v>2031</v>
      </c>
      <c r="O6" s="185">
        <f t="shared" si="0"/>
        <v>2032</v>
      </c>
      <c r="P6" s="185">
        <f t="shared" si="0"/>
        <v>2033</v>
      </c>
      <c r="Q6" s="185">
        <f t="shared" si="0"/>
        <v>2034</v>
      </c>
      <c r="R6" s="185">
        <f t="shared" si="0"/>
        <v>2035</v>
      </c>
      <c r="S6" s="185">
        <f t="shared" si="0"/>
        <v>2036</v>
      </c>
      <c r="T6" s="185">
        <f t="shared" si="0"/>
        <v>2037</v>
      </c>
      <c r="U6" s="185">
        <f t="shared" si="0"/>
        <v>2038</v>
      </c>
      <c r="V6" s="185">
        <f t="shared" si="0"/>
        <v>2039</v>
      </c>
      <c r="W6" s="185">
        <f t="shared" si="0"/>
        <v>2040</v>
      </c>
      <c r="X6" s="185">
        <f t="shared" si="0"/>
        <v>2041</v>
      </c>
      <c r="Y6" s="185">
        <f t="shared" si="0"/>
        <v>2042</v>
      </c>
      <c r="Z6" s="185">
        <f t="shared" si="0"/>
        <v>2043</v>
      </c>
      <c r="AA6" s="185">
        <f t="shared" si="0"/>
        <v>2044</v>
      </c>
      <c r="AB6" s="185">
        <f t="shared" si="0"/>
        <v>2045</v>
      </c>
      <c r="AC6" s="185">
        <f t="shared" si="0"/>
        <v>2046</v>
      </c>
      <c r="AD6" s="185">
        <f t="shared" si="0"/>
        <v>2047</v>
      </c>
      <c r="AE6" s="185">
        <f t="shared" si="0"/>
        <v>2048</v>
      </c>
      <c r="AF6" s="185">
        <f t="shared" si="0"/>
        <v>2049</v>
      </c>
      <c r="AG6" s="185">
        <f t="shared" si="0"/>
        <v>2050</v>
      </c>
      <c r="AI6" s="185" t="s">
        <v>209</v>
      </c>
      <c r="AJ6" s="183"/>
    </row>
    <row r="7" spans="1:36" ht="15" x14ac:dyDescent="0.25">
      <c r="A7" s="246" t="s">
        <v>15</v>
      </c>
      <c r="B7" s="29" t="s">
        <v>138</v>
      </c>
      <c r="C7" s="186"/>
      <c r="E7" s="187">
        <f>CTP!C15</f>
        <v>19000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v>0</v>
      </c>
      <c r="AC7" s="188">
        <v>0</v>
      </c>
      <c r="AD7" s="188">
        <v>0</v>
      </c>
      <c r="AE7" s="188">
        <v>0</v>
      </c>
      <c r="AF7" s="188">
        <v>0</v>
      </c>
      <c r="AG7" s="189">
        <v>0</v>
      </c>
      <c r="AH7" s="183"/>
      <c r="AI7" s="190">
        <f>+SUM(E7:AG7)</f>
        <v>19000</v>
      </c>
      <c r="AJ7" s="183"/>
    </row>
    <row r="8" spans="1:36" ht="15" x14ac:dyDescent="0.25">
      <c r="A8" s="248"/>
      <c r="B8" s="113" t="s">
        <v>86</v>
      </c>
      <c r="C8" s="186"/>
      <c r="E8" s="195">
        <f>CTP!C5</f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6">
        <v>0</v>
      </c>
      <c r="R8" s="196">
        <v>0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6">
        <v>0</v>
      </c>
      <c r="Y8" s="196">
        <v>0</v>
      </c>
      <c r="Z8" s="196">
        <v>0</v>
      </c>
      <c r="AA8" s="196">
        <v>0</v>
      </c>
      <c r="AB8" s="196">
        <v>0</v>
      </c>
      <c r="AC8" s="196">
        <v>0</v>
      </c>
      <c r="AD8" s="196">
        <v>0</v>
      </c>
      <c r="AE8" s="196">
        <v>0</v>
      </c>
      <c r="AF8" s="196">
        <v>0</v>
      </c>
      <c r="AG8" s="197">
        <v>0</v>
      </c>
      <c r="AH8" s="183"/>
      <c r="AI8" s="198">
        <f t="shared" ref="AI8:AI14" si="1">+SUM(E8:AG8)</f>
        <v>0</v>
      </c>
      <c r="AJ8" s="183"/>
    </row>
    <row r="9" spans="1:36" ht="15" x14ac:dyDescent="0.25">
      <c r="A9" s="246" t="s">
        <v>16</v>
      </c>
      <c r="B9" s="29" t="s">
        <v>75</v>
      </c>
      <c r="C9" s="186"/>
      <c r="E9" s="187">
        <f>CTP!C6</f>
        <v>950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188">
        <v>0</v>
      </c>
      <c r="AD9" s="188">
        <v>0</v>
      </c>
      <c r="AE9" s="188">
        <v>0</v>
      </c>
      <c r="AF9" s="188">
        <v>0</v>
      </c>
      <c r="AG9" s="189">
        <v>0</v>
      </c>
      <c r="AH9" s="183"/>
      <c r="AI9" s="190">
        <f t="shared" si="1"/>
        <v>950</v>
      </c>
      <c r="AJ9" s="183"/>
    </row>
    <row r="10" spans="1:36" ht="15" x14ac:dyDescent="0.25">
      <c r="A10" s="247"/>
      <c r="B10" s="120" t="s">
        <v>122</v>
      </c>
      <c r="C10" s="186"/>
      <c r="E10" s="191">
        <f>CTP!C7</f>
        <v>4370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2">
        <v>0</v>
      </c>
      <c r="W10" s="192">
        <v>0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3">
        <v>0</v>
      </c>
      <c r="AH10" s="183"/>
      <c r="AI10" s="194">
        <f t="shared" si="1"/>
        <v>4370</v>
      </c>
      <c r="AJ10" s="183"/>
    </row>
    <row r="11" spans="1:36" ht="15" x14ac:dyDescent="0.25">
      <c r="A11" s="247"/>
      <c r="B11" s="113" t="s">
        <v>76</v>
      </c>
      <c r="C11" s="186"/>
      <c r="E11" s="191">
        <f>CTP!C8</f>
        <v>4180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f>[1]CTP!$C$7</f>
        <v>0</v>
      </c>
      <c r="N11" s="192">
        <v>0</v>
      </c>
      <c r="O11" s="192">
        <v>0</v>
      </c>
      <c r="P11" s="192">
        <v>0</v>
      </c>
      <c r="Q11" s="192">
        <v>0</v>
      </c>
      <c r="R11" s="192">
        <v>0</v>
      </c>
      <c r="S11" s="192">
        <v>0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3">
        <v>0</v>
      </c>
      <c r="AH11" s="183"/>
      <c r="AI11" s="194">
        <f t="shared" si="1"/>
        <v>4180</v>
      </c>
      <c r="AJ11" s="183"/>
    </row>
    <row r="12" spans="1:36" ht="15" x14ac:dyDescent="0.25">
      <c r="A12" s="247"/>
      <c r="B12" s="113" t="s">
        <v>107</v>
      </c>
      <c r="C12" s="186"/>
      <c r="E12" s="191">
        <f>CTP!C9</f>
        <v>1140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3">
        <v>0</v>
      </c>
      <c r="AH12" s="183"/>
      <c r="AI12" s="194">
        <f t="shared" si="1"/>
        <v>1140</v>
      </c>
      <c r="AJ12" s="183"/>
    </row>
    <row r="13" spans="1:36" ht="15" x14ac:dyDescent="0.25">
      <c r="A13" s="247"/>
      <c r="B13" s="113" t="s">
        <v>117</v>
      </c>
      <c r="C13" s="186"/>
      <c r="E13" s="191">
        <f>CTP!$C$4*Parametros!$C$116</f>
        <v>950</v>
      </c>
      <c r="F13" s="192">
        <f>CTP!$C$4*Parametros!$C$117</f>
        <v>855</v>
      </c>
      <c r="G13" s="192">
        <f>CTP!$C$4*Parametros!$C$117</f>
        <v>855</v>
      </c>
      <c r="H13" s="192">
        <f>CTP!$C$4*Parametros!$C$117</f>
        <v>855</v>
      </c>
      <c r="I13" s="192">
        <f>CTP!$C$4*Parametros!$C$117</f>
        <v>855</v>
      </c>
      <c r="J13" s="192">
        <f>CTP!$C$4*Parametros!$C$117</f>
        <v>855</v>
      </c>
      <c r="K13" s="192">
        <f>CTP!$C$4*Parametros!$C$117</f>
        <v>855</v>
      </c>
      <c r="L13" s="192">
        <f>CTP!$C$4*Parametros!$C$117</f>
        <v>855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  <c r="AG13" s="193">
        <v>0</v>
      </c>
      <c r="AH13" s="183"/>
      <c r="AI13" s="194">
        <f t="shared" si="1"/>
        <v>6935</v>
      </c>
      <c r="AJ13" s="183"/>
    </row>
    <row r="14" spans="1:36" ht="15" x14ac:dyDescent="0.25">
      <c r="A14" s="247"/>
      <c r="B14" s="30" t="s">
        <v>92</v>
      </c>
      <c r="C14" s="186"/>
      <c r="E14" s="199">
        <f>-IPMT(Parametros!$C$51,1,Parametros!$C$50,(SUM(CTP!$C$4,CTP!$C$6:$C$9))*Parametros!$C$49)</f>
        <v>2074.8000000000002</v>
      </c>
      <c r="F14" s="200">
        <f>-IPMT(Parametros!$C$51,2,Parametros!$C$50,(SUM(CTP!$C$4,CTP!$C$6:$C$9))*Parametros!$C$49)</f>
        <v>1734.9529868470627</v>
      </c>
      <c r="G14" s="200">
        <f>-IPMT(Parametros!$C$51,3,Parametros!$C$50,(SUM(CTP!$C$4,CTP!$C$6:$C$9))*Parametros!$C$49)</f>
        <v>1361.1212723788306</v>
      </c>
      <c r="H14" s="200">
        <f>-IPMT(Parametros!$C$51,4,Parametros!$C$50,(SUM(CTP!$C$4,CTP!$C$6:$C$9))*Parametros!$C$49)</f>
        <v>949.90638646377613</v>
      </c>
      <c r="I14" s="200">
        <f>-IPMT(Parametros!$C$51,5,Parametros!$C$50,(SUM(CTP!$C$4,CTP!$C$6:$C$9))*Parametros!$C$49)</f>
        <v>497.57001195721608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  <c r="AA14" s="196">
        <v>0</v>
      </c>
      <c r="AB14" s="196">
        <v>0</v>
      </c>
      <c r="AC14" s="196">
        <v>0</v>
      </c>
      <c r="AD14" s="196">
        <v>0</v>
      </c>
      <c r="AE14" s="196">
        <v>0</v>
      </c>
      <c r="AF14" s="196">
        <v>0</v>
      </c>
      <c r="AG14" s="197">
        <v>0</v>
      </c>
      <c r="AH14" s="183"/>
      <c r="AI14" s="198">
        <f t="shared" si="1"/>
        <v>6618.3506576468853</v>
      </c>
      <c r="AJ14" s="183"/>
    </row>
    <row r="15" spans="1:36" ht="15" x14ac:dyDescent="0.25">
      <c r="A15" s="246" t="s">
        <v>17</v>
      </c>
      <c r="B15" s="113" t="s">
        <v>43</v>
      </c>
      <c r="C15" s="186"/>
      <c r="E15" s="187">
        <f>(Parametros!$C$9)*Parametros!$C$38</f>
        <v>5100</v>
      </c>
      <c r="F15" s="188">
        <f>(Parametros!$C$9)*Parametros!$C$38</f>
        <v>5100</v>
      </c>
      <c r="G15" s="188">
        <f>(Parametros!$C$9)*Parametros!$C$38</f>
        <v>5100</v>
      </c>
      <c r="H15" s="188">
        <f>(Parametros!$C$9)*Parametros!$C$38</f>
        <v>5100</v>
      </c>
      <c r="I15" s="188">
        <f>(Parametros!$C$9)*Parametros!$C$38</f>
        <v>5100</v>
      </c>
      <c r="J15" s="188">
        <f>(Parametros!$C$9)*Parametros!$C$38</f>
        <v>5100</v>
      </c>
      <c r="K15" s="188">
        <f>(Parametros!$C$9)*Parametros!$C$38</f>
        <v>5100</v>
      </c>
      <c r="L15" s="188">
        <f>(Parametros!$C$9)*Parametros!$C$38</f>
        <v>5100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9">
        <v>0</v>
      </c>
      <c r="AH15" s="183"/>
      <c r="AI15" s="190">
        <f>+SUM(E15:AG15)</f>
        <v>40800</v>
      </c>
      <c r="AJ15" s="183"/>
    </row>
    <row r="16" spans="1:36" ht="15" x14ac:dyDescent="0.25">
      <c r="A16" s="248"/>
      <c r="B16" s="30" t="s">
        <v>93</v>
      </c>
      <c r="C16" s="186"/>
      <c r="E16" s="195">
        <f>Parametros!H$76</f>
        <v>2738.3615999999993</v>
      </c>
      <c r="F16" s="196">
        <f>Parametros!H$77</f>
        <v>2738.3615999999993</v>
      </c>
      <c r="G16" s="196">
        <f>Parametros!H$78</f>
        <v>2738.3615999999993</v>
      </c>
      <c r="H16" s="196">
        <f>Parametros!H$79</f>
        <v>2738.3615999999993</v>
      </c>
      <c r="I16" s="196">
        <f>Parametros!H$80</f>
        <v>2738.3615999999993</v>
      </c>
      <c r="J16" s="196">
        <f>Parametros!H$81</f>
        <v>2738.3615999999993</v>
      </c>
      <c r="K16" s="196">
        <f>Parametros!H$82</f>
        <v>2738.3615999999993</v>
      </c>
      <c r="L16" s="196">
        <f>Parametros!H$83</f>
        <v>2738.3615999999993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96">
        <v>0</v>
      </c>
      <c r="AB16" s="196">
        <v>0</v>
      </c>
      <c r="AC16" s="196">
        <v>0</v>
      </c>
      <c r="AD16" s="196">
        <v>0</v>
      </c>
      <c r="AE16" s="196">
        <v>0</v>
      </c>
      <c r="AF16" s="196">
        <v>0</v>
      </c>
      <c r="AG16" s="197">
        <v>0</v>
      </c>
      <c r="AH16" s="183"/>
      <c r="AI16" s="198">
        <f>+SUM(E16:AG16)</f>
        <v>21906.892799999998</v>
      </c>
      <c r="AJ16" s="183"/>
    </row>
    <row r="17" spans="1:36" ht="15" x14ac:dyDescent="0.25">
      <c r="A17" s="72" t="s">
        <v>133</v>
      </c>
      <c r="B17" s="73" t="s">
        <v>95</v>
      </c>
      <c r="C17" s="186"/>
      <c r="E17" s="199">
        <f>Parametros!$C$134*Parametros!$C$38/(10^6)*Parametros!$C$136</f>
        <v>261.60000000000002</v>
      </c>
      <c r="F17" s="200">
        <f>Parametros!$C$134*Parametros!$C$38/(10^6)*Parametros!$C$136</f>
        <v>261.60000000000002</v>
      </c>
      <c r="G17" s="200">
        <f>Parametros!$C$134*Parametros!$C$38/(10^6)*Parametros!$C$136</f>
        <v>261.60000000000002</v>
      </c>
      <c r="H17" s="200">
        <f>Parametros!$C$134*Parametros!$C$38/(10^6)*Parametros!$C$136</f>
        <v>261.60000000000002</v>
      </c>
      <c r="I17" s="200">
        <f>Parametros!$C$134*Parametros!$C$38/(10^6)*Parametros!$C$136</f>
        <v>261.60000000000002</v>
      </c>
      <c r="J17" s="200">
        <f>Parametros!$C$134*Parametros!$C$38/(10^6)*Parametros!$C$136</f>
        <v>261.60000000000002</v>
      </c>
      <c r="K17" s="200">
        <f>Parametros!$C$134*Parametros!$C$38/(10^6)*Parametros!$C$136</f>
        <v>261.60000000000002</v>
      </c>
      <c r="L17" s="200">
        <f>Parametros!$C$134*Parametros!$C$38/(10^6)*Parametros!$C$136</f>
        <v>261.60000000000002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  <c r="AA17" s="196">
        <v>0</v>
      </c>
      <c r="AB17" s="196">
        <v>0</v>
      </c>
      <c r="AC17" s="196">
        <v>0</v>
      </c>
      <c r="AD17" s="196">
        <v>0</v>
      </c>
      <c r="AE17" s="196">
        <v>0</v>
      </c>
      <c r="AF17" s="196">
        <v>0</v>
      </c>
      <c r="AG17" s="197">
        <v>0</v>
      </c>
      <c r="AH17" s="183"/>
      <c r="AI17" s="224">
        <f>+SUM(E17:AG17)</f>
        <v>2092.7999999999997</v>
      </c>
      <c r="AJ17" s="183"/>
    </row>
    <row r="18" spans="1:36" ht="15" x14ac:dyDescent="0.25">
      <c r="B18" s="181" t="s">
        <v>209</v>
      </c>
      <c r="C18" s="186"/>
      <c r="E18" s="201">
        <f t="shared" ref="E18:AG18" si="2">SUM(E7:E17)</f>
        <v>40764.761599999998</v>
      </c>
      <c r="F18" s="201">
        <f t="shared" si="2"/>
        <v>10689.914586847062</v>
      </c>
      <c r="G18" s="201">
        <f t="shared" si="2"/>
        <v>10316.082872378831</v>
      </c>
      <c r="H18" s="201">
        <f t="shared" si="2"/>
        <v>9904.8679864637761</v>
      </c>
      <c r="I18" s="201">
        <f t="shared" si="2"/>
        <v>9452.5316119572144</v>
      </c>
      <c r="J18" s="201">
        <f t="shared" si="2"/>
        <v>8954.9616000000005</v>
      </c>
      <c r="K18" s="201">
        <f t="shared" si="2"/>
        <v>8954.9616000000005</v>
      </c>
      <c r="L18" s="201">
        <f t="shared" si="2"/>
        <v>8954.9616000000005</v>
      </c>
      <c r="M18" s="201">
        <f t="shared" si="2"/>
        <v>0</v>
      </c>
      <c r="N18" s="201">
        <f t="shared" si="2"/>
        <v>0</v>
      </c>
      <c r="O18" s="201">
        <f t="shared" si="2"/>
        <v>0</v>
      </c>
      <c r="P18" s="201">
        <f t="shared" si="2"/>
        <v>0</v>
      </c>
      <c r="Q18" s="201">
        <f t="shared" si="2"/>
        <v>0</v>
      </c>
      <c r="R18" s="201">
        <f t="shared" si="2"/>
        <v>0</v>
      </c>
      <c r="S18" s="201">
        <f t="shared" si="2"/>
        <v>0</v>
      </c>
      <c r="T18" s="201">
        <f t="shared" si="2"/>
        <v>0</v>
      </c>
      <c r="U18" s="201">
        <f t="shared" si="2"/>
        <v>0</v>
      </c>
      <c r="V18" s="201">
        <f t="shared" si="2"/>
        <v>0</v>
      </c>
      <c r="W18" s="201">
        <f t="shared" si="2"/>
        <v>0</v>
      </c>
      <c r="X18" s="201">
        <f t="shared" si="2"/>
        <v>0</v>
      </c>
      <c r="Y18" s="201">
        <f t="shared" si="2"/>
        <v>0</v>
      </c>
      <c r="Z18" s="201">
        <f t="shared" si="2"/>
        <v>0</v>
      </c>
      <c r="AA18" s="201">
        <f t="shared" si="2"/>
        <v>0</v>
      </c>
      <c r="AB18" s="201">
        <f t="shared" si="2"/>
        <v>0</v>
      </c>
      <c r="AC18" s="201">
        <f t="shared" si="2"/>
        <v>0</v>
      </c>
      <c r="AD18" s="201">
        <f t="shared" si="2"/>
        <v>0</v>
      </c>
      <c r="AE18" s="201">
        <f t="shared" si="2"/>
        <v>0</v>
      </c>
      <c r="AF18" s="201">
        <f t="shared" si="2"/>
        <v>0</v>
      </c>
      <c r="AG18" s="201">
        <f t="shared" si="2"/>
        <v>0</v>
      </c>
      <c r="AH18" s="183"/>
      <c r="AI18" s="202">
        <f>+SUM(E18:AG18)</f>
        <v>107993.04345764687</v>
      </c>
      <c r="AJ18" s="183"/>
    </row>
    <row r="19" spans="1:36" ht="15" x14ac:dyDescent="0.25">
      <c r="A19" s="183"/>
      <c r="C19" s="20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</row>
    <row r="20" spans="1:36" ht="15" x14ac:dyDescent="0.25">
      <c r="C20" s="186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183"/>
      <c r="AI20" s="183"/>
      <c r="AJ20" s="183"/>
    </row>
    <row r="21" spans="1:36" ht="15" x14ac:dyDescent="0.25">
      <c r="A21" s="181" t="s">
        <v>210</v>
      </c>
      <c r="E21" s="205">
        <f t="shared" ref="E21:AG21" si="3">1/(1+$C$3)^E5</f>
        <v>1</v>
      </c>
      <c r="F21" s="205">
        <f t="shared" si="3"/>
        <v>1</v>
      </c>
      <c r="G21" s="205">
        <f t="shared" si="3"/>
        <v>1</v>
      </c>
      <c r="H21" s="205">
        <f t="shared" si="3"/>
        <v>1</v>
      </c>
      <c r="I21" s="205">
        <f t="shared" si="3"/>
        <v>1</v>
      </c>
      <c r="J21" s="205">
        <f t="shared" si="3"/>
        <v>1</v>
      </c>
      <c r="K21" s="205">
        <f t="shared" si="3"/>
        <v>1</v>
      </c>
      <c r="L21" s="205">
        <f t="shared" si="3"/>
        <v>1</v>
      </c>
      <c r="M21" s="205">
        <f t="shared" si="3"/>
        <v>1</v>
      </c>
      <c r="N21" s="205">
        <f t="shared" si="3"/>
        <v>1</v>
      </c>
      <c r="O21" s="205">
        <f t="shared" si="3"/>
        <v>1</v>
      </c>
      <c r="P21" s="205">
        <f t="shared" si="3"/>
        <v>1</v>
      </c>
      <c r="Q21" s="205">
        <f t="shared" si="3"/>
        <v>1</v>
      </c>
      <c r="R21" s="205">
        <f t="shared" si="3"/>
        <v>1</v>
      </c>
      <c r="S21" s="205">
        <f t="shared" si="3"/>
        <v>1</v>
      </c>
      <c r="T21" s="205">
        <f t="shared" si="3"/>
        <v>1</v>
      </c>
      <c r="U21" s="205">
        <f t="shared" si="3"/>
        <v>1</v>
      </c>
      <c r="V21" s="205">
        <f t="shared" si="3"/>
        <v>1</v>
      </c>
      <c r="W21" s="205">
        <f t="shared" si="3"/>
        <v>1</v>
      </c>
      <c r="X21" s="205">
        <f t="shared" si="3"/>
        <v>1</v>
      </c>
      <c r="Y21" s="205">
        <f t="shared" si="3"/>
        <v>1</v>
      </c>
      <c r="Z21" s="205">
        <f t="shared" si="3"/>
        <v>1</v>
      </c>
      <c r="AA21" s="205">
        <f t="shared" si="3"/>
        <v>1</v>
      </c>
      <c r="AB21" s="205">
        <f t="shared" si="3"/>
        <v>1</v>
      </c>
      <c r="AC21" s="205">
        <f t="shared" si="3"/>
        <v>1</v>
      </c>
      <c r="AD21" s="205">
        <f t="shared" si="3"/>
        <v>1</v>
      </c>
      <c r="AE21" s="205">
        <f t="shared" si="3"/>
        <v>1</v>
      </c>
      <c r="AF21" s="205">
        <f t="shared" si="3"/>
        <v>1</v>
      </c>
      <c r="AG21" s="205">
        <f t="shared" si="3"/>
        <v>1</v>
      </c>
      <c r="AH21" s="183"/>
      <c r="AI21" s="183"/>
      <c r="AJ21" s="183"/>
    </row>
    <row r="22" spans="1:36" ht="15" x14ac:dyDescent="0.25">
      <c r="C22" s="206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183"/>
      <c r="AI22" s="183"/>
      <c r="AJ22" s="183"/>
    </row>
    <row r="23" spans="1:36" ht="15" x14ac:dyDescent="0.25">
      <c r="A23" s="250" t="s">
        <v>211</v>
      </c>
      <c r="B23" s="250"/>
      <c r="C23" s="181" t="s">
        <v>1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</row>
    <row r="24" spans="1:36" ht="15" x14ac:dyDescent="0.25">
      <c r="A24" s="246" t="s">
        <v>15</v>
      </c>
      <c r="B24" s="29" t="s">
        <v>138</v>
      </c>
      <c r="C24" s="186"/>
      <c r="E24" s="207">
        <f>E7*E$21</f>
        <v>19000</v>
      </c>
      <c r="F24" s="208">
        <f t="shared" ref="F24:AG33" si="4">F7*F$21</f>
        <v>0</v>
      </c>
      <c r="G24" s="208">
        <f t="shared" si="4"/>
        <v>0</v>
      </c>
      <c r="H24" s="208">
        <f t="shared" si="4"/>
        <v>0</v>
      </c>
      <c r="I24" s="208">
        <f t="shared" si="4"/>
        <v>0</v>
      </c>
      <c r="J24" s="208">
        <f t="shared" si="4"/>
        <v>0</v>
      </c>
      <c r="K24" s="208">
        <f t="shared" si="4"/>
        <v>0</v>
      </c>
      <c r="L24" s="208">
        <f t="shared" si="4"/>
        <v>0</v>
      </c>
      <c r="M24" s="208">
        <f t="shared" si="4"/>
        <v>0</v>
      </c>
      <c r="N24" s="208">
        <f t="shared" si="4"/>
        <v>0</v>
      </c>
      <c r="O24" s="208">
        <f t="shared" si="4"/>
        <v>0</v>
      </c>
      <c r="P24" s="208">
        <f t="shared" si="4"/>
        <v>0</v>
      </c>
      <c r="Q24" s="208">
        <f t="shared" si="4"/>
        <v>0</v>
      </c>
      <c r="R24" s="208">
        <f t="shared" si="4"/>
        <v>0</v>
      </c>
      <c r="S24" s="208">
        <f t="shared" si="4"/>
        <v>0</v>
      </c>
      <c r="T24" s="208">
        <f t="shared" si="4"/>
        <v>0</v>
      </c>
      <c r="U24" s="208">
        <f t="shared" si="4"/>
        <v>0</v>
      </c>
      <c r="V24" s="208">
        <f t="shared" si="4"/>
        <v>0</v>
      </c>
      <c r="W24" s="208">
        <f t="shared" si="4"/>
        <v>0</v>
      </c>
      <c r="X24" s="208">
        <f t="shared" si="4"/>
        <v>0</v>
      </c>
      <c r="Y24" s="208">
        <f t="shared" si="4"/>
        <v>0</v>
      </c>
      <c r="Z24" s="208">
        <f t="shared" si="4"/>
        <v>0</v>
      </c>
      <c r="AA24" s="208">
        <f t="shared" si="4"/>
        <v>0</v>
      </c>
      <c r="AB24" s="208">
        <f t="shared" si="4"/>
        <v>0</v>
      </c>
      <c r="AC24" s="208">
        <f t="shared" si="4"/>
        <v>0</v>
      </c>
      <c r="AD24" s="208">
        <f t="shared" si="4"/>
        <v>0</v>
      </c>
      <c r="AE24" s="208">
        <f t="shared" si="4"/>
        <v>0</v>
      </c>
      <c r="AF24" s="208">
        <f t="shared" si="4"/>
        <v>0</v>
      </c>
      <c r="AG24" s="209">
        <f t="shared" si="4"/>
        <v>0</v>
      </c>
      <c r="AH24" s="183"/>
      <c r="AI24" s="210">
        <f t="shared" ref="AI24:AI34" si="5">+SUM(E24:AG24)</f>
        <v>19000</v>
      </c>
      <c r="AJ24" s="183"/>
    </row>
    <row r="25" spans="1:36" ht="15" x14ac:dyDescent="0.25">
      <c r="A25" s="248"/>
      <c r="B25" s="113" t="s">
        <v>86</v>
      </c>
      <c r="C25" s="186"/>
      <c r="E25" s="211">
        <f t="shared" ref="E25:T34" si="6">E8*E$21</f>
        <v>0</v>
      </c>
      <c r="F25" s="212">
        <f t="shared" si="6"/>
        <v>0</v>
      </c>
      <c r="G25" s="212">
        <f t="shared" si="6"/>
        <v>0</v>
      </c>
      <c r="H25" s="212">
        <f t="shared" si="6"/>
        <v>0</v>
      </c>
      <c r="I25" s="212">
        <f t="shared" si="6"/>
        <v>0</v>
      </c>
      <c r="J25" s="212">
        <f t="shared" si="6"/>
        <v>0</v>
      </c>
      <c r="K25" s="212">
        <f t="shared" si="6"/>
        <v>0</v>
      </c>
      <c r="L25" s="212">
        <f t="shared" si="6"/>
        <v>0</v>
      </c>
      <c r="M25" s="212">
        <f t="shared" si="6"/>
        <v>0</v>
      </c>
      <c r="N25" s="212">
        <f t="shared" si="6"/>
        <v>0</v>
      </c>
      <c r="O25" s="212">
        <f t="shared" si="6"/>
        <v>0</v>
      </c>
      <c r="P25" s="212">
        <f t="shared" si="6"/>
        <v>0</v>
      </c>
      <c r="Q25" s="212">
        <f t="shared" si="6"/>
        <v>0</v>
      </c>
      <c r="R25" s="212">
        <f t="shared" si="6"/>
        <v>0</v>
      </c>
      <c r="S25" s="212">
        <f t="shared" si="6"/>
        <v>0</v>
      </c>
      <c r="T25" s="212">
        <f t="shared" si="6"/>
        <v>0</v>
      </c>
      <c r="U25" s="212">
        <f t="shared" si="4"/>
        <v>0</v>
      </c>
      <c r="V25" s="212">
        <f t="shared" si="4"/>
        <v>0</v>
      </c>
      <c r="W25" s="212">
        <f t="shared" si="4"/>
        <v>0</v>
      </c>
      <c r="X25" s="212">
        <f t="shared" si="4"/>
        <v>0</v>
      </c>
      <c r="Y25" s="212">
        <f t="shared" si="4"/>
        <v>0</v>
      </c>
      <c r="Z25" s="212">
        <f t="shared" si="4"/>
        <v>0</v>
      </c>
      <c r="AA25" s="212">
        <f t="shared" si="4"/>
        <v>0</v>
      </c>
      <c r="AB25" s="212">
        <f t="shared" si="4"/>
        <v>0</v>
      </c>
      <c r="AC25" s="212">
        <f t="shared" si="4"/>
        <v>0</v>
      </c>
      <c r="AD25" s="212">
        <f t="shared" si="4"/>
        <v>0</v>
      </c>
      <c r="AE25" s="212">
        <f t="shared" si="4"/>
        <v>0</v>
      </c>
      <c r="AF25" s="212">
        <f t="shared" si="4"/>
        <v>0</v>
      </c>
      <c r="AG25" s="213">
        <f t="shared" si="4"/>
        <v>0</v>
      </c>
      <c r="AH25" s="183"/>
      <c r="AI25" s="218">
        <f t="shared" si="5"/>
        <v>0</v>
      </c>
      <c r="AJ25" s="183"/>
    </row>
    <row r="26" spans="1:36" ht="15" x14ac:dyDescent="0.25">
      <c r="A26" s="246" t="s">
        <v>16</v>
      </c>
      <c r="B26" s="29" t="s">
        <v>75</v>
      </c>
      <c r="C26" s="186"/>
      <c r="E26" s="207">
        <f t="shared" si="6"/>
        <v>950</v>
      </c>
      <c r="F26" s="208">
        <f t="shared" si="4"/>
        <v>0</v>
      </c>
      <c r="G26" s="208">
        <f t="shared" si="4"/>
        <v>0</v>
      </c>
      <c r="H26" s="208">
        <f t="shared" si="4"/>
        <v>0</v>
      </c>
      <c r="I26" s="208">
        <f t="shared" si="4"/>
        <v>0</v>
      </c>
      <c r="J26" s="208">
        <f t="shared" si="4"/>
        <v>0</v>
      </c>
      <c r="K26" s="208">
        <f t="shared" si="4"/>
        <v>0</v>
      </c>
      <c r="L26" s="208">
        <f t="shared" si="4"/>
        <v>0</v>
      </c>
      <c r="M26" s="208">
        <f t="shared" si="4"/>
        <v>0</v>
      </c>
      <c r="N26" s="208">
        <f t="shared" si="4"/>
        <v>0</v>
      </c>
      <c r="O26" s="208">
        <f t="shared" si="4"/>
        <v>0</v>
      </c>
      <c r="P26" s="208">
        <f t="shared" si="4"/>
        <v>0</v>
      </c>
      <c r="Q26" s="208">
        <f t="shared" si="4"/>
        <v>0</v>
      </c>
      <c r="R26" s="208">
        <f t="shared" si="4"/>
        <v>0</v>
      </c>
      <c r="S26" s="208">
        <f t="shared" si="4"/>
        <v>0</v>
      </c>
      <c r="T26" s="208">
        <f t="shared" si="4"/>
        <v>0</v>
      </c>
      <c r="U26" s="208">
        <f t="shared" si="4"/>
        <v>0</v>
      </c>
      <c r="V26" s="208">
        <f t="shared" si="4"/>
        <v>0</v>
      </c>
      <c r="W26" s="208">
        <f t="shared" si="4"/>
        <v>0</v>
      </c>
      <c r="X26" s="208">
        <f t="shared" si="4"/>
        <v>0</v>
      </c>
      <c r="Y26" s="208">
        <f t="shared" si="4"/>
        <v>0</v>
      </c>
      <c r="Z26" s="208">
        <f t="shared" si="4"/>
        <v>0</v>
      </c>
      <c r="AA26" s="208">
        <f t="shared" si="4"/>
        <v>0</v>
      </c>
      <c r="AB26" s="208">
        <f t="shared" si="4"/>
        <v>0</v>
      </c>
      <c r="AC26" s="208">
        <f t="shared" si="4"/>
        <v>0</v>
      </c>
      <c r="AD26" s="208">
        <f t="shared" si="4"/>
        <v>0</v>
      </c>
      <c r="AE26" s="208">
        <f t="shared" si="4"/>
        <v>0</v>
      </c>
      <c r="AF26" s="208">
        <f t="shared" si="4"/>
        <v>0</v>
      </c>
      <c r="AG26" s="209">
        <f t="shared" si="4"/>
        <v>0</v>
      </c>
      <c r="AH26" s="183"/>
      <c r="AI26" s="210">
        <f t="shared" si="5"/>
        <v>950</v>
      </c>
      <c r="AJ26" s="183"/>
    </row>
    <row r="27" spans="1:36" ht="15" x14ac:dyDescent="0.25">
      <c r="A27" s="247"/>
      <c r="B27" s="120" t="s">
        <v>122</v>
      </c>
      <c r="C27" s="186"/>
      <c r="E27" s="215">
        <f t="shared" si="6"/>
        <v>4370</v>
      </c>
      <c r="F27" s="216">
        <f t="shared" si="4"/>
        <v>0</v>
      </c>
      <c r="G27" s="216">
        <f t="shared" si="4"/>
        <v>0</v>
      </c>
      <c r="H27" s="216">
        <f t="shared" si="4"/>
        <v>0</v>
      </c>
      <c r="I27" s="216">
        <f t="shared" si="4"/>
        <v>0</v>
      </c>
      <c r="J27" s="216">
        <f t="shared" si="4"/>
        <v>0</v>
      </c>
      <c r="K27" s="216">
        <f t="shared" si="4"/>
        <v>0</v>
      </c>
      <c r="L27" s="216">
        <f t="shared" si="4"/>
        <v>0</v>
      </c>
      <c r="M27" s="216">
        <f t="shared" si="4"/>
        <v>0</v>
      </c>
      <c r="N27" s="216">
        <f t="shared" si="4"/>
        <v>0</v>
      </c>
      <c r="O27" s="216">
        <f t="shared" si="4"/>
        <v>0</v>
      </c>
      <c r="P27" s="216">
        <f t="shared" si="4"/>
        <v>0</v>
      </c>
      <c r="Q27" s="216">
        <f t="shared" si="4"/>
        <v>0</v>
      </c>
      <c r="R27" s="216">
        <f t="shared" si="4"/>
        <v>0</v>
      </c>
      <c r="S27" s="216">
        <f t="shared" si="4"/>
        <v>0</v>
      </c>
      <c r="T27" s="216">
        <f t="shared" si="4"/>
        <v>0</v>
      </c>
      <c r="U27" s="216">
        <f t="shared" si="4"/>
        <v>0</v>
      </c>
      <c r="V27" s="216">
        <f t="shared" si="4"/>
        <v>0</v>
      </c>
      <c r="W27" s="216">
        <f t="shared" si="4"/>
        <v>0</v>
      </c>
      <c r="X27" s="216">
        <f t="shared" si="4"/>
        <v>0</v>
      </c>
      <c r="Y27" s="216">
        <f t="shared" si="4"/>
        <v>0</v>
      </c>
      <c r="Z27" s="216">
        <f t="shared" si="4"/>
        <v>0</v>
      </c>
      <c r="AA27" s="216">
        <f t="shared" si="4"/>
        <v>0</v>
      </c>
      <c r="AB27" s="216">
        <f t="shared" si="4"/>
        <v>0</v>
      </c>
      <c r="AC27" s="216">
        <f t="shared" si="4"/>
        <v>0</v>
      </c>
      <c r="AD27" s="216">
        <f t="shared" si="4"/>
        <v>0</v>
      </c>
      <c r="AE27" s="216">
        <f t="shared" si="4"/>
        <v>0</v>
      </c>
      <c r="AF27" s="216">
        <f t="shared" si="4"/>
        <v>0</v>
      </c>
      <c r="AG27" s="217">
        <f t="shared" si="4"/>
        <v>0</v>
      </c>
      <c r="AH27" s="183"/>
      <c r="AI27" s="214">
        <f t="shared" si="5"/>
        <v>4370</v>
      </c>
      <c r="AJ27" s="183"/>
    </row>
    <row r="28" spans="1:36" ht="15" x14ac:dyDescent="0.25">
      <c r="A28" s="247"/>
      <c r="B28" s="113" t="s">
        <v>76</v>
      </c>
      <c r="C28" s="186"/>
      <c r="E28" s="215">
        <f t="shared" si="6"/>
        <v>4180</v>
      </c>
      <c r="F28" s="216">
        <f t="shared" si="4"/>
        <v>0</v>
      </c>
      <c r="G28" s="216">
        <f t="shared" si="4"/>
        <v>0</v>
      </c>
      <c r="H28" s="216">
        <f t="shared" si="4"/>
        <v>0</v>
      </c>
      <c r="I28" s="216">
        <f t="shared" si="4"/>
        <v>0</v>
      </c>
      <c r="J28" s="216">
        <f t="shared" si="4"/>
        <v>0</v>
      </c>
      <c r="K28" s="216">
        <f t="shared" si="4"/>
        <v>0</v>
      </c>
      <c r="L28" s="216">
        <f t="shared" si="4"/>
        <v>0</v>
      </c>
      <c r="M28" s="216">
        <f t="shared" si="4"/>
        <v>0</v>
      </c>
      <c r="N28" s="216">
        <f t="shared" si="4"/>
        <v>0</v>
      </c>
      <c r="O28" s="216">
        <f t="shared" si="4"/>
        <v>0</v>
      </c>
      <c r="P28" s="216">
        <f t="shared" si="4"/>
        <v>0</v>
      </c>
      <c r="Q28" s="216">
        <f t="shared" si="4"/>
        <v>0</v>
      </c>
      <c r="R28" s="216">
        <f t="shared" si="4"/>
        <v>0</v>
      </c>
      <c r="S28" s="216">
        <f t="shared" si="4"/>
        <v>0</v>
      </c>
      <c r="T28" s="216">
        <f t="shared" si="4"/>
        <v>0</v>
      </c>
      <c r="U28" s="216">
        <f t="shared" si="4"/>
        <v>0</v>
      </c>
      <c r="V28" s="216">
        <f t="shared" si="4"/>
        <v>0</v>
      </c>
      <c r="W28" s="216">
        <f t="shared" si="4"/>
        <v>0</v>
      </c>
      <c r="X28" s="216">
        <f t="shared" si="4"/>
        <v>0</v>
      </c>
      <c r="Y28" s="216">
        <f t="shared" si="4"/>
        <v>0</v>
      </c>
      <c r="Z28" s="216">
        <f t="shared" si="4"/>
        <v>0</v>
      </c>
      <c r="AA28" s="216">
        <f t="shared" si="4"/>
        <v>0</v>
      </c>
      <c r="AB28" s="216">
        <f t="shared" si="4"/>
        <v>0</v>
      </c>
      <c r="AC28" s="216">
        <f t="shared" si="4"/>
        <v>0</v>
      </c>
      <c r="AD28" s="216">
        <f t="shared" si="4"/>
        <v>0</v>
      </c>
      <c r="AE28" s="216">
        <f t="shared" si="4"/>
        <v>0</v>
      </c>
      <c r="AF28" s="216">
        <f t="shared" si="4"/>
        <v>0</v>
      </c>
      <c r="AG28" s="217">
        <f t="shared" si="4"/>
        <v>0</v>
      </c>
      <c r="AH28" s="183"/>
      <c r="AI28" s="214">
        <f t="shared" si="5"/>
        <v>4180</v>
      </c>
      <c r="AJ28" s="183"/>
    </row>
    <row r="29" spans="1:36" ht="15" x14ac:dyDescent="0.25">
      <c r="A29" s="247"/>
      <c r="B29" s="113" t="s">
        <v>107</v>
      </c>
      <c r="C29" s="186"/>
      <c r="E29" s="215">
        <f t="shared" si="6"/>
        <v>1140</v>
      </c>
      <c r="F29" s="216">
        <f t="shared" si="4"/>
        <v>0</v>
      </c>
      <c r="G29" s="216">
        <f t="shared" si="4"/>
        <v>0</v>
      </c>
      <c r="H29" s="216">
        <f t="shared" si="4"/>
        <v>0</v>
      </c>
      <c r="I29" s="216">
        <f t="shared" si="4"/>
        <v>0</v>
      </c>
      <c r="J29" s="216">
        <f t="shared" si="4"/>
        <v>0</v>
      </c>
      <c r="K29" s="216">
        <f t="shared" si="4"/>
        <v>0</v>
      </c>
      <c r="L29" s="216">
        <f t="shared" si="4"/>
        <v>0</v>
      </c>
      <c r="M29" s="216">
        <f t="shared" si="4"/>
        <v>0</v>
      </c>
      <c r="N29" s="216">
        <f t="shared" si="4"/>
        <v>0</v>
      </c>
      <c r="O29" s="216">
        <f t="shared" si="4"/>
        <v>0</v>
      </c>
      <c r="P29" s="216">
        <f t="shared" si="4"/>
        <v>0</v>
      </c>
      <c r="Q29" s="216">
        <f t="shared" si="4"/>
        <v>0</v>
      </c>
      <c r="R29" s="216">
        <f t="shared" si="4"/>
        <v>0</v>
      </c>
      <c r="S29" s="216">
        <f t="shared" si="4"/>
        <v>0</v>
      </c>
      <c r="T29" s="216">
        <f t="shared" si="4"/>
        <v>0</v>
      </c>
      <c r="U29" s="216">
        <f t="shared" si="4"/>
        <v>0</v>
      </c>
      <c r="V29" s="216">
        <f t="shared" si="4"/>
        <v>0</v>
      </c>
      <c r="W29" s="216">
        <f t="shared" si="4"/>
        <v>0</v>
      </c>
      <c r="X29" s="216">
        <f t="shared" si="4"/>
        <v>0</v>
      </c>
      <c r="Y29" s="216">
        <f t="shared" si="4"/>
        <v>0</v>
      </c>
      <c r="Z29" s="216">
        <f t="shared" si="4"/>
        <v>0</v>
      </c>
      <c r="AA29" s="216">
        <f t="shared" si="4"/>
        <v>0</v>
      </c>
      <c r="AB29" s="216">
        <f t="shared" si="4"/>
        <v>0</v>
      </c>
      <c r="AC29" s="216">
        <f t="shared" si="4"/>
        <v>0</v>
      </c>
      <c r="AD29" s="216">
        <f t="shared" si="4"/>
        <v>0</v>
      </c>
      <c r="AE29" s="216">
        <f t="shared" si="4"/>
        <v>0</v>
      </c>
      <c r="AF29" s="216">
        <f t="shared" si="4"/>
        <v>0</v>
      </c>
      <c r="AG29" s="217">
        <f t="shared" si="4"/>
        <v>0</v>
      </c>
      <c r="AH29" s="183"/>
      <c r="AI29" s="214">
        <f t="shared" si="5"/>
        <v>1140</v>
      </c>
      <c r="AJ29" s="183"/>
    </row>
    <row r="30" spans="1:36" ht="15" x14ac:dyDescent="0.25">
      <c r="A30" s="247"/>
      <c r="B30" s="113" t="s">
        <v>117</v>
      </c>
      <c r="C30" s="186"/>
      <c r="E30" s="215">
        <f t="shared" si="6"/>
        <v>950</v>
      </c>
      <c r="F30" s="216">
        <f t="shared" si="4"/>
        <v>855</v>
      </c>
      <c r="G30" s="216">
        <f t="shared" si="4"/>
        <v>855</v>
      </c>
      <c r="H30" s="216">
        <f t="shared" si="4"/>
        <v>855</v>
      </c>
      <c r="I30" s="216">
        <f t="shared" si="4"/>
        <v>855</v>
      </c>
      <c r="J30" s="216">
        <f t="shared" si="4"/>
        <v>855</v>
      </c>
      <c r="K30" s="216">
        <f t="shared" si="4"/>
        <v>855</v>
      </c>
      <c r="L30" s="216">
        <f t="shared" si="4"/>
        <v>855</v>
      </c>
      <c r="M30" s="216">
        <f t="shared" si="4"/>
        <v>0</v>
      </c>
      <c r="N30" s="216">
        <f t="shared" si="4"/>
        <v>0</v>
      </c>
      <c r="O30" s="216">
        <f t="shared" si="4"/>
        <v>0</v>
      </c>
      <c r="P30" s="216">
        <f t="shared" si="4"/>
        <v>0</v>
      </c>
      <c r="Q30" s="216">
        <f t="shared" si="4"/>
        <v>0</v>
      </c>
      <c r="R30" s="216">
        <f t="shared" si="4"/>
        <v>0</v>
      </c>
      <c r="S30" s="216">
        <f t="shared" si="4"/>
        <v>0</v>
      </c>
      <c r="T30" s="216">
        <f t="shared" si="4"/>
        <v>0</v>
      </c>
      <c r="U30" s="216">
        <f t="shared" si="4"/>
        <v>0</v>
      </c>
      <c r="V30" s="216">
        <f t="shared" si="4"/>
        <v>0</v>
      </c>
      <c r="W30" s="216">
        <f t="shared" si="4"/>
        <v>0</v>
      </c>
      <c r="X30" s="216">
        <f t="shared" si="4"/>
        <v>0</v>
      </c>
      <c r="Y30" s="216">
        <f t="shared" si="4"/>
        <v>0</v>
      </c>
      <c r="Z30" s="216">
        <f t="shared" si="4"/>
        <v>0</v>
      </c>
      <c r="AA30" s="216">
        <f t="shared" si="4"/>
        <v>0</v>
      </c>
      <c r="AB30" s="216">
        <f t="shared" si="4"/>
        <v>0</v>
      </c>
      <c r="AC30" s="216">
        <f t="shared" si="4"/>
        <v>0</v>
      </c>
      <c r="AD30" s="216">
        <f t="shared" si="4"/>
        <v>0</v>
      </c>
      <c r="AE30" s="216">
        <f t="shared" si="4"/>
        <v>0</v>
      </c>
      <c r="AF30" s="216">
        <f t="shared" si="4"/>
        <v>0</v>
      </c>
      <c r="AG30" s="217">
        <f t="shared" si="4"/>
        <v>0</v>
      </c>
      <c r="AH30" s="183"/>
      <c r="AI30" s="214">
        <f t="shared" si="5"/>
        <v>6935</v>
      </c>
      <c r="AJ30" s="183"/>
    </row>
    <row r="31" spans="1:36" ht="15" x14ac:dyDescent="0.25">
      <c r="A31" s="247"/>
      <c r="B31" s="30" t="s">
        <v>92</v>
      </c>
      <c r="C31" s="206"/>
      <c r="E31" s="211">
        <f t="shared" si="6"/>
        <v>2074.8000000000002</v>
      </c>
      <c r="F31" s="212">
        <f t="shared" si="4"/>
        <v>1734.9529868470627</v>
      </c>
      <c r="G31" s="212">
        <f t="shared" si="4"/>
        <v>1361.1212723788306</v>
      </c>
      <c r="H31" s="212">
        <f t="shared" si="4"/>
        <v>949.90638646377613</v>
      </c>
      <c r="I31" s="212">
        <f t="shared" si="4"/>
        <v>497.57001195721608</v>
      </c>
      <c r="J31" s="212">
        <f t="shared" si="4"/>
        <v>0</v>
      </c>
      <c r="K31" s="212">
        <f t="shared" si="4"/>
        <v>0</v>
      </c>
      <c r="L31" s="212">
        <f t="shared" si="4"/>
        <v>0</v>
      </c>
      <c r="M31" s="212">
        <f t="shared" si="4"/>
        <v>0</v>
      </c>
      <c r="N31" s="212">
        <f t="shared" si="4"/>
        <v>0</v>
      </c>
      <c r="O31" s="212">
        <f t="shared" si="4"/>
        <v>0</v>
      </c>
      <c r="P31" s="212">
        <f t="shared" si="4"/>
        <v>0</v>
      </c>
      <c r="Q31" s="212">
        <f t="shared" si="4"/>
        <v>0</v>
      </c>
      <c r="R31" s="212">
        <f t="shared" si="4"/>
        <v>0</v>
      </c>
      <c r="S31" s="212">
        <f t="shared" si="4"/>
        <v>0</v>
      </c>
      <c r="T31" s="212">
        <f t="shared" si="4"/>
        <v>0</v>
      </c>
      <c r="U31" s="212">
        <f t="shared" si="4"/>
        <v>0</v>
      </c>
      <c r="V31" s="212">
        <f t="shared" si="4"/>
        <v>0</v>
      </c>
      <c r="W31" s="212">
        <f t="shared" si="4"/>
        <v>0</v>
      </c>
      <c r="X31" s="212">
        <f t="shared" si="4"/>
        <v>0</v>
      </c>
      <c r="Y31" s="212">
        <f t="shared" si="4"/>
        <v>0</v>
      </c>
      <c r="Z31" s="212">
        <f t="shared" si="4"/>
        <v>0</v>
      </c>
      <c r="AA31" s="212">
        <f t="shared" si="4"/>
        <v>0</v>
      </c>
      <c r="AB31" s="212">
        <f t="shared" si="4"/>
        <v>0</v>
      </c>
      <c r="AC31" s="212">
        <f t="shared" si="4"/>
        <v>0</v>
      </c>
      <c r="AD31" s="212">
        <f t="shared" si="4"/>
        <v>0</v>
      </c>
      <c r="AE31" s="212">
        <f t="shared" si="4"/>
        <v>0</v>
      </c>
      <c r="AF31" s="212">
        <f t="shared" si="4"/>
        <v>0</v>
      </c>
      <c r="AG31" s="213">
        <f t="shared" si="4"/>
        <v>0</v>
      </c>
      <c r="AH31" s="183"/>
      <c r="AI31" s="218">
        <f t="shared" si="5"/>
        <v>6618.3506576468853</v>
      </c>
      <c r="AJ31" s="183"/>
    </row>
    <row r="32" spans="1:36" ht="15" x14ac:dyDescent="0.25">
      <c r="A32" s="246" t="s">
        <v>17</v>
      </c>
      <c r="B32" s="113" t="s">
        <v>43</v>
      </c>
      <c r="C32" s="206"/>
      <c r="E32" s="207">
        <f t="shared" si="6"/>
        <v>5100</v>
      </c>
      <c r="F32" s="208">
        <f t="shared" si="4"/>
        <v>5100</v>
      </c>
      <c r="G32" s="208">
        <f t="shared" si="4"/>
        <v>5100</v>
      </c>
      <c r="H32" s="208">
        <f t="shared" si="4"/>
        <v>5100</v>
      </c>
      <c r="I32" s="208">
        <f t="shared" si="4"/>
        <v>5100</v>
      </c>
      <c r="J32" s="208">
        <f t="shared" si="4"/>
        <v>5100</v>
      </c>
      <c r="K32" s="208">
        <f t="shared" si="4"/>
        <v>5100</v>
      </c>
      <c r="L32" s="208">
        <f t="shared" si="4"/>
        <v>5100</v>
      </c>
      <c r="M32" s="208">
        <f t="shared" si="4"/>
        <v>0</v>
      </c>
      <c r="N32" s="208">
        <f t="shared" si="4"/>
        <v>0</v>
      </c>
      <c r="O32" s="208">
        <f t="shared" si="4"/>
        <v>0</v>
      </c>
      <c r="P32" s="208">
        <f t="shared" si="4"/>
        <v>0</v>
      </c>
      <c r="Q32" s="208">
        <f t="shared" si="4"/>
        <v>0</v>
      </c>
      <c r="R32" s="208">
        <f t="shared" si="4"/>
        <v>0</v>
      </c>
      <c r="S32" s="208">
        <f t="shared" si="4"/>
        <v>0</v>
      </c>
      <c r="T32" s="208">
        <f t="shared" si="4"/>
        <v>0</v>
      </c>
      <c r="U32" s="208">
        <f t="shared" si="4"/>
        <v>0</v>
      </c>
      <c r="V32" s="208">
        <f t="shared" si="4"/>
        <v>0</v>
      </c>
      <c r="W32" s="208">
        <f t="shared" si="4"/>
        <v>0</v>
      </c>
      <c r="X32" s="208">
        <f t="shared" si="4"/>
        <v>0</v>
      </c>
      <c r="Y32" s="208">
        <f t="shared" si="4"/>
        <v>0</v>
      </c>
      <c r="Z32" s="208">
        <f t="shared" si="4"/>
        <v>0</v>
      </c>
      <c r="AA32" s="208">
        <f t="shared" si="4"/>
        <v>0</v>
      </c>
      <c r="AB32" s="208">
        <f t="shared" si="4"/>
        <v>0</v>
      </c>
      <c r="AC32" s="208">
        <f t="shared" si="4"/>
        <v>0</v>
      </c>
      <c r="AD32" s="208">
        <f t="shared" si="4"/>
        <v>0</v>
      </c>
      <c r="AE32" s="208">
        <f t="shared" si="4"/>
        <v>0</v>
      </c>
      <c r="AF32" s="208">
        <f t="shared" si="4"/>
        <v>0</v>
      </c>
      <c r="AG32" s="209">
        <f t="shared" si="4"/>
        <v>0</v>
      </c>
      <c r="AH32" s="183"/>
      <c r="AI32" s="210">
        <f t="shared" si="5"/>
        <v>40800</v>
      </c>
      <c r="AJ32" s="183"/>
    </row>
    <row r="33" spans="1:36" ht="15" x14ac:dyDescent="0.25">
      <c r="A33" s="247"/>
      <c r="B33" s="30" t="s">
        <v>93</v>
      </c>
      <c r="C33" s="206"/>
      <c r="E33" s="211">
        <f t="shared" si="6"/>
        <v>2738.3615999999993</v>
      </c>
      <c r="F33" s="212">
        <f t="shared" si="4"/>
        <v>2738.3615999999993</v>
      </c>
      <c r="G33" s="212">
        <f t="shared" si="4"/>
        <v>2738.3615999999993</v>
      </c>
      <c r="H33" s="212">
        <f t="shared" si="4"/>
        <v>2738.3615999999993</v>
      </c>
      <c r="I33" s="212">
        <f t="shared" si="4"/>
        <v>2738.3615999999993</v>
      </c>
      <c r="J33" s="212">
        <f t="shared" si="4"/>
        <v>2738.3615999999993</v>
      </c>
      <c r="K33" s="212">
        <f t="shared" si="4"/>
        <v>2738.3615999999993</v>
      </c>
      <c r="L33" s="212">
        <f t="shared" si="4"/>
        <v>2738.3615999999993</v>
      </c>
      <c r="M33" s="212">
        <f t="shared" si="4"/>
        <v>0</v>
      </c>
      <c r="N33" s="212">
        <f t="shared" si="4"/>
        <v>0</v>
      </c>
      <c r="O33" s="212">
        <f t="shared" si="4"/>
        <v>0</v>
      </c>
      <c r="P33" s="212">
        <f t="shared" si="4"/>
        <v>0</v>
      </c>
      <c r="Q33" s="212">
        <f t="shared" si="4"/>
        <v>0</v>
      </c>
      <c r="R33" s="212">
        <f t="shared" si="4"/>
        <v>0</v>
      </c>
      <c r="S33" s="212">
        <f t="shared" si="4"/>
        <v>0</v>
      </c>
      <c r="T33" s="212">
        <f t="shared" si="4"/>
        <v>0</v>
      </c>
      <c r="U33" s="212">
        <f t="shared" si="4"/>
        <v>0</v>
      </c>
      <c r="V33" s="212">
        <f t="shared" si="4"/>
        <v>0</v>
      </c>
      <c r="W33" s="212">
        <f t="shared" si="4"/>
        <v>0</v>
      </c>
      <c r="X33" s="212">
        <f t="shared" ref="F33:AG34" si="7">X16*X$21</f>
        <v>0</v>
      </c>
      <c r="Y33" s="212">
        <f t="shared" si="7"/>
        <v>0</v>
      </c>
      <c r="Z33" s="212">
        <f t="shared" si="7"/>
        <v>0</v>
      </c>
      <c r="AA33" s="212">
        <f t="shared" si="7"/>
        <v>0</v>
      </c>
      <c r="AB33" s="212">
        <f t="shared" si="7"/>
        <v>0</v>
      </c>
      <c r="AC33" s="212">
        <f t="shared" si="7"/>
        <v>0</v>
      </c>
      <c r="AD33" s="212">
        <f t="shared" si="7"/>
        <v>0</v>
      </c>
      <c r="AE33" s="212">
        <f t="shared" si="7"/>
        <v>0</v>
      </c>
      <c r="AF33" s="212">
        <f t="shared" si="7"/>
        <v>0</v>
      </c>
      <c r="AG33" s="213">
        <f t="shared" si="7"/>
        <v>0</v>
      </c>
      <c r="AH33" s="183"/>
      <c r="AI33" s="218">
        <f t="shared" si="5"/>
        <v>21906.892799999998</v>
      </c>
      <c r="AJ33" s="183"/>
    </row>
    <row r="34" spans="1:36" ht="15" x14ac:dyDescent="0.25">
      <c r="A34" s="72" t="s">
        <v>133</v>
      </c>
      <c r="B34" s="73" t="s">
        <v>95</v>
      </c>
      <c r="E34" s="219">
        <f t="shared" si="6"/>
        <v>261.60000000000002</v>
      </c>
      <c r="F34" s="220">
        <f t="shared" si="7"/>
        <v>261.60000000000002</v>
      </c>
      <c r="G34" s="220">
        <f t="shared" si="7"/>
        <v>261.60000000000002</v>
      </c>
      <c r="H34" s="220">
        <f t="shared" si="7"/>
        <v>261.60000000000002</v>
      </c>
      <c r="I34" s="220">
        <f t="shared" si="7"/>
        <v>261.60000000000002</v>
      </c>
      <c r="J34" s="220">
        <f t="shared" si="7"/>
        <v>261.60000000000002</v>
      </c>
      <c r="K34" s="220">
        <f t="shared" si="7"/>
        <v>261.60000000000002</v>
      </c>
      <c r="L34" s="220">
        <f t="shared" si="7"/>
        <v>261.60000000000002</v>
      </c>
      <c r="M34" s="220">
        <f t="shared" si="7"/>
        <v>0</v>
      </c>
      <c r="N34" s="220">
        <f t="shared" si="7"/>
        <v>0</v>
      </c>
      <c r="O34" s="220">
        <f t="shared" si="7"/>
        <v>0</v>
      </c>
      <c r="P34" s="220">
        <f t="shared" si="7"/>
        <v>0</v>
      </c>
      <c r="Q34" s="220">
        <f t="shared" si="7"/>
        <v>0</v>
      </c>
      <c r="R34" s="220">
        <f t="shared" si="7"/>
        <v>0</v>
      </c>
      <c r="S34" s="220">
        <f t="shared" si="7"/>
        <v>0</v>
      </c>
      <c r="T34" s="220">
        <f t="shared" si="7"/>
        <v>0</v>
      </c>
      <c r="U34" s="220">
        <f t="shared" si="7"/>
        <v>0</v>
      </c>
      <c r="V34" s="220">
        <f t="shared" si="7"/>
        <v>0</v>
      </c>
      <c r="W34" s="220">
        <f t="shared" si="7"/>
        <v>0</v>
      </c>
      <c r="X34" s="220">
        <f t="shared" si="7"/>
        <v>0</v>
      </c>
      <c r="Y34" s="220">
        <f t="shared" si="7"/>
        <v>0</v>
      </c>
      <c r="Z34" s="220">
        <f t="shared" si="7"/>
        <v>0</v>
      </c>
      <c r="AA34" s="220">
        <f t="shared" si="7"/>
        <v>0</v>
      </c>
      <c r="AB34" s="220">
        <f t="shared" si="7"/>
        <v>0</v>
      </c>
      <c r="AC34" s="220">
        <f t="shared" si="7"/>
        <v>0</v>
      </c>
      <c r="AD34" s="220">
        <f t="shared" si="7"/>
        <v>0</v>
      </c>
      <c r="AE34" s="220">
        <f t="shared" si="7"/>
        <v>0</v>
      </c>
      <c r="AF34" s="220">
        <f t="shared" si="7"/>
        <v>0</v>
      </c>
      <c r="AG34" s="221">
        <f t="shared" si="7"/>
        <v>0</v>
      </c>
      <c r="AI34" s="225">
        <f t="shared" si="5"/>
        <v>2092.7999999999997</v>
      </c>
      <c r="AJ34" s="183"/>
    </row>
    <row r="35" spans="1:36" ht="14.45" customHeight="1" x14ac:dyDescent="0.25">
      <c r="B35" s="181" t="s">
        <v>209</v>
      </c>
      <c r="C35" s="186"/>
      <c r="E35" s="222">
        <f>SUM(E24:E34)</f>
        <v>40764.761599999998</v>
      </c>
      <c r="F35" s="222">
        <f t="shared" ref="F35:AG35" si="8">SUM(F24:F34)</f>
        <v>10689.914586847062</v>
      </c>
      <c r="G35" s="222">
        <f t="shared" si="8"/>
        <v>10316.082872378831</v>
      </c>
      <c r="H35" s="222">
        <f t="shared" si="8"/>
        <v>9904.8679864637761</v>
      </c>
      <c r="I35" s="222">
        <f t="shared" si="8"/>
        <v>9452.5316119572144</v>
      </c>
      <c r="J35" s="222">
        <f t="shared" si="8"/>
        <v>8954.9616000000005</v>
      </c>
      <c r="K35" s="222">
        <f t="shared" si="8"/>
        <v>8954.9616000000005</v>
      </c>
      <c r="L35" s="222">
        <f t="shared" si="8"/>
        <v>8954.9616000000005</v>
      </c>
      <c r="M35" s="222">
        <f t="shared" si="8"/>
        <v>0</v>
      </c>
      <c r="N35" s="222">
        <f t="shared" si="8"/>
        <v>0</v>
      </c>
      <c r="O35" s="222">
        <f t="shared" si="8"/>
        <v>0</v>
      </c>
      <c r="P35" s="222">
        <f t="shared" si="8"/>
        <v>0</v>
      </c>
      <c r="Q35" s="222">
        <f t="shared" si="8"/>
        <v>0</v>
      </c>
      <c r="R35" s="222">
        <f t="shared" si="8"/>
        <v>0</v>
      </c>
      <c r="S35" s="222">
        <f t="shared" si="8"/>
        <v>0</v>
      </c>
      <c r="T35" s="222">
        <f t="shared" si="8"/>
        <v>0</v>
      </c>
      <c r="U35" s="222">
        <f t="shared" si="8"/>
        <v>0</v>
      </c>
      <c r="V35" s="222">
        <f t="shared" si="8"/>
        <v>0</v>
      </c>
      <c r="W35" s="222">
        <f t="shared" si="8"/>
        <v>0</v>
      </c>
      <c r="X35" s="222">
        <f t="shared" si="8"/>
        <v>0</v>
      </c>
      <c r="Y35" s="222">
        <f t="shared" si="8"/>
        <v>0</v>
      </c>
      <c r="Z35" s="222">
        <f t="shared" si="8"/>
        <v>0</v>
      </c>
      <c r="AA35" s="222">
        <f t="shared" si="8"/>
        <v>0</v>
      </c>
      <c r="AB35" s="222">
        <f t="shared" si="8"/>
        <v>0</v>
      </c>
      <c r="AC35" s="222">
        <f t="shared" si="8"/>
        <v>0</v>
      </c>
      <c r="AD35" s="222">
        <f t="shared" si="8"/>
        <v>0</v>
      </c>
      <c r="AE35" s="222">
        <f t="shared" si="8"/>
        <v>0</v>
      </c>
      <c r="AF35" s="222">
        <f t="shared" si="8"/>
        <v>0</v>
      </c>
      <c r="AG35" s="222">
        <f t="shared" si="8"/>
        <v>0</v>
      </c>
      <c r="AH35" s="183"/>
      <c r="AI35" s="223">
        <f>+SUM(E35:AG35)</f>
        <v>107993.04345764687</v>
      </c>
    </row>
    <row r="36" spans="1:36" ht="14.45" customHeight="1" x14ac:dyDescent="0.25"/>
    <row r="37" spans="1:36" ht="14.45" customHeight="1" x14ac:dyDescent="0.25"/>
    <row r="38" spans="1:36" ht="14.45" customHeight="1" x14ac:dyDescent="0.25"/>
    <row r="39" spans="1:36" ht="14.45" customHeight="1" x14ac:dyDescent="0.25">
      <c r="A39" s="251" t="s">
        <v>212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</row>
    <row r="40" spans="1:36" ht="14.45" customHeight="1" x14ac:dyDescent="0.25">
      <c r="A40" s="99"/>
      <c r="E40" s="182">
        <v>0</v>
      </c>
      <c r="F40" s="182">
        <v>1</v>
      </c>
      <c r="G40" s="182">
        <v>2</v>
      </c>
      <c r="H40" s="182">
        <v>3</v>
      </c>
      <c r="I40" s="182">
        <v>4</v>
      </c>
      <c r="J40" s="182">
        <v>5</v>
      </c>
      <c r="K40" s="182">
        <v>6</v>
      </c>
      <c r="L40" s="182">
        <v>7</v>
      </c>
      <c r="M40" s="182">
        <v>8</v>
      </c>
      <c r="N40" s="182">
        <v>9</v>
      </c>
      <c r="O40" s="182">
        <v>10</v>
      </c>
      <c r="P40" s="182">
        <v>11</v>
      </c>
      <c r="Q40" s="182">
        <v>12</v>
      </c>
      <c r="R40" s="182">
        <v>13</v>
      </c>
      <c r="S40" s="182">
        <v>14</v>
      </c>
      <c r="T40" s="182">
        <v>15</v>
      </c>
      <c r="U40" s="182">
        <v>16</v>
      </c>
      <c r="V40" s="182">
        <v>17</v>
      </c>
      <c r="W40" s="182">
        <v>18</v>
      </c>
      <c r="X40" s="182">
        <v>19</v>
      </c>
      <c r="Y40" s="182">
        <v>20</v>
      </c>
      <c r="Z40" s="182">
        <v>21</v>
      </c>
      <c r="AA40" s="182">
        <v>22</v>
      </c>
      <c r="AB40" s="182">
        <v>23</v>
      </c>
      <c r="AC40" s="182">
        <v>24</v>
      </c>
      <c r="AD40" s="182">
        <v>25</v>
      </c>
      <c r="AE40" s="182">
        <v>26</v>
      </c>
      <c r="AF40" s="182">
        <v>27</v>
      </c>
      <c r="AG40" s="182">
        <v>28</v>
      </c>
    </row>
    <row r="41" spans="1:36" ht="14.45" customHeight="1" x14ac:dyDescent="0.25">
      <c r="A41" s="249" t="s">
        <v>208</v>
      </c>
      <c r="B41" s="249"/>
      <c r="C41" s="181" t="s">
        <v>1</v>
      </c>
      <c r="E41" s="184">
        <v>2022</v>
      </c>
      <c r="F41" s="184">
        <f>+E41+1</f>
        <v>2023</v>
      </c>
      <c r="G41" s="185">
        <f t="shared" ref="G41" si="9">+F41+1</f>
        <v>2024</v>
      </c>
      <c r="H41" s="185">
        <f t="shared" ref="H41" si="10">+G41+1</f>
        <v>2025</v>
      </c>
      <c r="I41" s="185">
        <f t="shared" ref="I41" si="11">+H41+1</f>
        <v>2026</v>
      </c>
      <c r="J41" s="185">
        <f t="shared" ref="J41" si="12">+I41+1</f>
        <v>2027</v>
      </c>
      <c r="K41" s="185">
        <f t="shared" ref="K41" si="13">+J41+1</f>
        <v>2028</v>
      </c>
      <c r="L41" s="185">
        <f t="shared" ref="L41" si="14">+K41+1</f>
        <v>2029</v>
      </c>
      <c r="M41" s="185">
        <f t="shared" ref="M41" si="15">+L41+1</f>
        <v>2030</v>
      </c>
      <c r="N41" s="185">
        <f t="shared" ref="N41" si="16">+M41+1</f>
        <v>2031</v>
      </c>
      <c r="O41" s="185">
        <f t="shared" ref="O41" si="17">+N41+1</f>
        <v>2032</v>
      </c>
      <c r="P41" s="185">
        <f t="shared" ref="P41" si="18">+O41+1</f>
        <v>2033</v>
      </c>
      <c r="Q41" s="185">
        <f t="shared" ref="Q41" si="19">+P41+1</f>
        <v>2034</v>
      </c>
      <c r="R41" s="185">
        <f t="shared" ref="R41" si="20">+Q41+1</f>
        <v>2035</v>
      </c>
      <c r="S41" s="185">
        <f t="shared" ref="S41" si="21">+R41+1</f>
        <v>2036</v>
      </c>
      <c r="T41" s="185">
        <f t="shared" ref="T41" si="22">+S41+1</f>
        <v>2037</v>
      </c>
      <c r="U41" s="185">
        <f t="shared" ref="U41" si="23">+T41+1</f>
        <v>2038</v>
      </c>
      <c r="V41" s="185">
        <f t="shared" ref="V41" si="24">+U41+1</f>
        <v>2039</v>
      </c>
      <c r="W41" s="185">
        <f t="shared" ref="W41" si="25">+V41+1</f>
        <v>2040</v>
      </c>
      <c r="X41" s="185">
        <f t="shared" ref="X41" si="26">+W41+1</f>
        <v>2041</v>
      </c>
      <c r="Y41" s="185">
        <f t="shared" ref="Y41" si="27">+X41+1</f>
        <v>2042</v>
      </c>
      <c r="Z41" s="185">
        <f t="shared" ref="Z41" si="28">+Y41+1</f>
        <v>2043</v>
      </c>
      <c r="AA41" s="185">
        <f t="shared" ref="AA41" si="29">+Z41+1</f>
        <v>2044</v>
      </c>
      <c r="AB41" s="185">
        <f t="shared" ref="AB41" si="30">+AA41+1</f>
        <v>2045</v>
      </c>
      <c r="AC41" s="185">
        <f t="shared" ref="AC41" si="31">+AB41+1</f>
        <v>2046</v>
      </c>
      <c r="AD41" s="185">
        <f t="shared" ref="AD41" si="32">+AC41+1</f>
        <v>2047</v>
      </c>
      <c r="AE41" s="185">
        <f t="shared" ref="AE41" si="33">+AD41+1</f>
        <v>2048</v>
      </c>
      <c r="AF41" s="185">
        <f t="shared" ref="AF41" si="34">+AE41+1</f>
        <v>2049</v>
      </c>
      <c r="AG41" s="185">
        <f t="shared" ref="AG41" si="35">+AF41+1</f>
        <v>2050</v>
      </c>
      <c r="AI41" s="185" t="s">
        <v>209</v>
      </c>
    </row>
    <row r="42" spans="1:36" ht="14.45" customHeight="1" x14ac:dyDescent="0.25">
      <c r="A42" s="246" t="s">
        <v>15</v>
      </c>
      <c r="B42" s="29" t="s">
        <v>138</v>
      </c>
      <c r="C42" s="186"/>
      <c r="E42" s="187">
        <f>CTP!E15</f>
        <v>20409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v>0</v>
      </c>
      <c r="V42" s="188">
        <v>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v>0</v>
      </c>
      <c r="AC42" s="188">
        <v>0</v>
      </c>
      <c r="AD42" s="188">
        <v>0</v>
      </c>
      <c r="AE42" s="188">
        <v>0</v>
      </c>
      <c r="AF42" s="188">
        <v>0</v>
      </c>
      <c r="AG42" s="189">
        <v>0</v>
      </c>
      <c r="AH42" s="183"/>
      <c r="AI42" s="190">
        <f>+SUM(E42:AG42)</f>
        <v>20409</v>
      </c>
    </row>
    <row r="43" spans="1:36" ht="14.45" customHeight="1" x14ac:dyDescent="0.25">
      <c r="A43" s="248"/>
      <c r="B43" s="113" t="s">
        <v>86</v>
      </c>
      <c r="C43" s="186"/>
      <c r="E43" s="195">
        <f>CTP!E5</f>
        <v>2000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6">
        <v>0</v>
      </c>
      <c r="AA43" s="196">
        <v>0</v>
      </c>
      <c r="AB43" s="196">
        <v>0</v>
      </c>
      <c r="AC43" s="196">
        <v>0</v>
      </c>
      <c r="AD43" s="196">
        <v>0</v>
      </c>
      <c r="AE43" s="196">
        <v>0</v>
      </c>
      <c r="AF43" s="196">
        <v>0</v>
      </c>
      <c r="AG43" s="197">
        <v>0</v>
      </c>
      <c r="AH43" s="183"/>
      <c r="AI43" s="198">
        <f t="shared" ref="AI43:AI49" si="36">+SUM(E43:AG43)</f>
        <v>2000</v>
      </c>
    </row>
    <row r="44" spans="1:36" ht="14.45" customHeight="1" x14ac:dyDescent="0.25">
      <c r="A44" s="246" t="s">
        <v>16</v>
      </c>
      <c r="B44" s="29" t="s">
        <v>75</v>
      </c>
      <c r="C44" s="186"/>
      <c r="E44" s="187">
        <f>CTP!E6</f>
        <v>1900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v>0</v>
      </c>
      <c r="AC44" s="188">
        <v>0</v>
      </c>
      <c r="AD44" s="188">
        <v>0</v>
      </c>
      <c r="AE44" s="188">
        <v>0</v>
      </c>
      <c r="AF44" s="188">
        <v>0</v>
      </c>
      <c r="AG44" s="189">
        <v>0</v>
      </c>
      <c r="AH44" s="183"/>
      <c r="AI44" s="190">
        <f t="shared" si="36"/>
        <v>1900</v>
      </c>
    </row>
    <row r="45" spans="1:36" ht="14.45" customHeight="1" x14ac:dyDescent="0.25">
      <c r="A45" s="247"/>
      <c r="B45" s="120" t="s">
        <v>122</v>
      </c>
      <c r="C45" s="186"/>
      <c r="E45" s="191">
        <f>CTP!E7</f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2">
        <v>0</v>
      </c>
      <c r="Q45" s="192">
        <v>0</v>
      </c>
      <c r="R45" s="192">
        <v>0</v>
      </c>
      <c r="S45" s="192">
        <v>0</v>
      </c>
      <c r="T45" s="192">
        <v>0</v>
      </c>
      <c r="U45" s="192">
        <v>0</v>
      </c>
      <c r="V45" s="192">
        <v>0</v>
      </c>
      <c r="W45" s="192">
        <v>0</v>
      </c>
      <c r="X45" s="192">
        <v>0</v>
      </c>
      <c r="Y45" s="192">
        <v>0</v>
      </c>
      <c r="Z45" s="192">
        <v>0</v>
      </c>
      <c r="AA45" s="192">
        <v>0</v>
      </c>
      <c r="AB45" s="192">
        <v>0</v>
      </c>
      <c r="AC45" s="192">
        <v>0</v>
      </c>
      <c r="AD45" s="192">
        <v>0</v>
      </c>
      <c r="AE45" s="192">
        <v>0</v>
      </c>
      <c r="AF45" s="192">
        <v>0</v>
      </c>
      <c r="AG45" s="193">
        <v>0</v>
      </c>
      <c r="AH45" s="183"/>
      <c r="AI45" s="194">
        <f t="shared" si="36"/>
        <v>0</v>
      </c>
    </row>
    <row r="46" spans="1:36" ht="14.45" customHeight="1" x14ac:dyDescent="0.25">
      <c r="A46" s="247"/>
      <c r="B46" s="113" t="s">
        <v>76</v>
      </c>
      <c r="C46" s="186"/>
      <c r="E46" s="191">
        <f>CTP!E8</f>
        <v>8360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f>[1]CTP!$C$7</f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2">
        <v>0</v>
      </c>
      <c r="T46" s="192">
        <v>0</v>
      </c>
      <c r="U46" s="192">
        <v>0</v>
      </c>
      <c r="V46" s="192">
        <v>0</v>
      </c>
      <c r="W46" s="192">
        <v>0</v>
      </c>
      <c r="X46" s="192">
        <v>0</v>
      </c>
      <c r="Y46" s="192">
        <v>0</v>
      </c>
      <c r="Z46" s="192">
        <v>0</v>
      </c>
      <c r="AA46" s="192">
        <v>0</v>
      </c>
      <c r="AB46" s="192">
        <v>0</v>
      </c>
      <c r="AC46" s="192">
        <v>0</v>
      </c>
      <c r="AD46" s="192">
        <v>0</v>
      </c>
      <c r="AE46" s="192">
        <v>0</v>
      </c>
      <c r="AF46" s="192">
        <v>0</v>
      </c>
      <c r="AG46" s="193">
        <v>0</v>
      </c>
      <c r="AH46" s="183"/>
      <c r="AI46" s="194">
        <f t="shared" si="36"/>
        <v>8360</v>
      </c>
    </row>
    <row r="47" spans="1:36" ht="14.45" customHeight="1" x14ac:dyDescent="0.25">
      <c r="A47" s="247"/>
      <c r="B47" s="113" t="s">
        <v>107</v>
      </c>
      <c r="C47" s="186"/>
      <c r="E47" s="191">
        <f>CTP!E9</f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2">
        <v>0</v>
      </c>
      <c r="Q47" s="192">
        <v>0</v>
      </c>
      <c r="R47" s="192">
        <v>0</v>
      </c>
      <c r="S47" s="192">
        <v>0</v>
      </c>
      <c r="T47" s="192">
        <v>0</v>
      </c>
      <c r="U47" s="192">
        <v>0</v>
      </c>
      <c r="V47" s="192">
        <v>0</v>
      </c>
      <c r="W47" s="192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2">
        <v>0</v>
      </c>
      <c r="AD47" s="192">
        <v>0</v>
      </c>
      <c r="AE47" s="192">
        <v>0</v>
      </c>
      <c r="AF47" s="192">
        <v>0</v>
      </c>
      <c r="AG47" s="193">
        <v>0</v>
      </c>
      <c r="AH47" s="183"/>
      <c r="AI47" s="194">
        <f t="shared" si="36"/>
        <v>0</v>
      </c>
    </row>
    <row r="48" spans="1:36" ht="14.45" customHeight="1" x14ac:dyDescent="0.25">
      <c r="A48" s="247"/>
      <c r="B48" s="113" t="s">
        <v>117</v>
      </c>
      <c r="C48" s="186"/>
      <c r="E48" s="191">
        <f>CTP!$E$4*Parametros!$C$124</f>
        <v>855</v>
      </c>
      <c r="F48" s="192">
        <f>CTP!$E$4*Parametros!$C$125</f>
        <v>855</v>
      </c>
      <c r="G48" s="192">
        <f>CTP!$E$4*Parametros!$C$125</f>
        <v>855</v>
      </c>
      <c r="H48" s="192">
        <f>CTP!$E$4*Parametros!$C$125</f>
        <v>855</v>
      </c>
      <c r="I48" s="192">
        <f>CTP!$E$4*Parametros!$C$125</f>
        <v>855</v>
      </c>
      <c r="J48" s="192">
        <f>CTP!$E$4*Parametros!$C$125</f>
        <v>855</v>
      </c>
      <c r="K48" s="192">
        <f>CTP!$E$4*Parametros!$C$125</f>
        <v>855</v>
      </c>
      <c r="L48" s="192">
        <f>CTP!$E$4*Parametros!$C$125</f>
        <v>855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192">
        <v>0</v>
      </c>
      <c r="V48" s="192">
        <v>0</v>
      </c>
      <c r="W48" s="192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2">
        <v>0</v>
      </c>
      <c r="AD48" s="192">
        <v>0</v>
      </c>
      <c r="AE48" s="192">
        <v>0</v>
      </c>
      <c r="AF48" s="192">
        <v>0</v>
      </c>
      <c r="AG48" s="193">
        <v>0</v>
      </c>
      <c r="AH48" s="183"/>
      <c r="AI48" s="194">
        <f t="shared" si="36"/>
        <v>6840</v>
      </c>
    </row>
    <row r="49" spans="1:35" ht="14.45" customHeight="1" x14ac:dyDescent="0.25">
      <c r="A49" s="247"/>
      <c r="B49" s="30" t="s">
        <v>92</v>
      </c>
      <c r="C49" s="186"/>
      <c r="E49" s="199">
        <f>-IPMT(Parametros!$C$52,1,Parametros!$C$50,(SUM(CTP!$E$4,CTP!$E$6:$E$9))*Parametros!$C$49)</f>
        <v>3378.2000000000003</v>
      </c>
      <c r="F49" s="200">
        <f>-IPMT(Parametros!$C$52,2,Parametros!$C$50,(SUM(CTP!$E$4,CTP!$E$6:$E$9))*Parametros!$C$49)</f>
        <v>2824.8593503791913</v>
      </c>
      <c r="G49" s="200">
        <f>-IPMT(Parametros!$C$52,3,Parametros!$C$50,(SUM(CTP!$E$4,CTP!$E$6:$E$9))*Parametros!$C$49)</f>
        <v>2216.1846357963009</v>
      </c>
      <c r="H49" s="200">
        <f>-IPMT(Parametros!$C$52,4,Parametros!$C$50,(SUM(CTP!$E$4,CTP!$E$6:$E$9))*Parametros!$C$49)</f>
        <v>1546.6424497551227</v>
      </c>
      <c r="I49" s="200">
        <f>-IPMT(Parametros!$C$52,5,Parametros!$C$50,(SUM(CTP!$E$4,CTP!$E$6:$E$9))*Parametros!$C$49)</f>
        <v>810.1460451098261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196">
        <v>0</v>
      </c>
      <c r="T49" s="196">
        <v>0</v>
      </c>
      <c r="U49" s="196">
        <v>0</v>
      </c>
      <c r="V49" s="196">
        <v>0</v>
      </c>
      <c r="W49" s="196">
        <v>0</v>
      </c>
      <c r="X49" s="196">
        <v>0</v>
      </c>
      <c r="Y49" s="196">
        <v>0</v>
      </c>
      <c r="Z49" s="196">
        <v>0</v>
      </c>
      <c r="AA49" s="196">
        <v>0</v>
      </c>
      <c r="AB49" s="196">
        <v>0</v>
      </c>
      <c r="AC49" s="196">
        <v>0</v>
      </c>
      <c r="AD49" s="196">
        <v>0</v>
      </c>
      <c r="AE49" s="196">
        <v>0</v>
      </c>
      <c r="AF49" s="196">
        <v>0</v>
      </c>
      <c r="AG49" s="197">
        <v>0</v>
      </c>
      <c r="AH49" s="183"/>
      <c r="AI49" s="198">
        <f t="shared" si="36"/>
        <v>10776.032481040442</v>
      </c>
    </row>
    <row r="50" spans="1:35" ht="14.45" customHeight="1" x14ac:dyDescent="0.25">
      <c r="A50" s="246" t="s">
        <v>17</v>
      </c>
      <c r="B50" s="113" t="s">
        <v>43</v>
      </c>
      <c r="C50" s="186"/>
      <c r="E50" s="187">
        <f>(Parametros!$C$19)*Parametros!$C$38</f>
        <v>3060</v>
      </c>
      <c r="F50" s="188">
        <f>(Parametros!$C$19)*Parametros!$C$38</f>
        <v>3060</v>
      </c>
      <c r="G50" s="188">
        <f>(Parametros!$C$19)*Parametros!$C$38</f>
        <v>3060</v>
      </c>
      <c r="H50" s="188">
        <f>(Parametros!$C$19)*Parametros!$C$38</f>
        <v>3060</v>
      </c>
      <c r="I50" s="188">
        <f>(Parametros!$C$19)*Parametros!$C$38</f>
        <v>3060</v>
      </c>
      <c r="J50" s="188">
        <f>(Parametros!$C$19)*Parametros!$C$38</f>
        <v>3060</v>
      </c>
      <c r="K50" s="188">
        <f>(Parametros!$C$19)*Parametros!$C$38</f>
        <v>3060</v>
      </c>
      <c r="L50" s="188">
        <f>(Parametros!$C$19)*Parametros!$C$38</f>
        <v>3060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v>0</v>
      </c>
      <c r="AC50" s="188">
        <v>0</v>
      </c>
      <c r="AD50" s="188">
        <v>0</v>
      </c>
      <c r="AE50" s="188">
        <v>0</v>
      </c>
      <c r="AF50" s="188">
        <v>0</v>
      </c>
      <c r="AG50" s="189">
        <v>0</v>
      </c>
      <c r="AH50" s="183"/>
      <c r="AI50" s="190">
        <f>+SUM(E50:AG50)</f>
        <v>24480</v>
      </c>
    </row>
    <row r="51" spans="1:35" ht="14.45" customHeight="1" x14ac:dyDescent="0.25">
      <c r="A51" s="248"/>
      <c r="B51" s="30" t="s">
        <v>93</v>
      </c>
      <c r="C51" s="186"/>
      <c r="E51" s="199">
        <f>Parametros!I76</f>
        <v>466.99200000000002</v>
      </c>
      <c r="F51" s="200">
        <f>Parametros!I77</f>
        <v>466.99200000000002</v>
      </c>
      <c r="G51" s="200">
        <f>Parametros!I78</f>
        <v>466.99200000000002</v>
      </c>
      <c r="H51" s="200">
        <f>Parametros!I79</f>
        <v>466.99200000000002</v>
      </c>
      <c r="I51" s="200">
        <f>Parametros!I80</f>
        <v>466.99200000000002</v>
      </c>
      <c r="J51" s="196">
        <f>Parametros!I81</f>
        <v>466.99200000000002</v>
      </c>
      <c r="K51" s="196">
        <f>Parametros!I82</f>
        <v>466.99200000000002</v>
      </c>
      <c r="L51" s="196">
        <f>Parametros!I83</f>
        <v>466.99200000000002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6">
        <v>0</v>
      </c>
      <c r="U51" s="196">
        <v>0</v>
      </c>
      <c r="V51" s="196">
        <v>0</v>
      </c>
      <c r="W51" s="196">
        <v>0</v>
      </c>
      <c r="X51" s="196">
        <v>0</v>
      </c>
      <c r="Y51" s="196">
        <v>0</v>
      </c>
      <c r="Z51" s="196">
        <v>0</v>
      </c>
      <c r="AA51" s="196">
        <v>0</v>
      </c>
      <c r="AB51" s="196">
        <v>0</v>
      </c>
      <c r="AC51" s="196">
        <v>0</v>
      </c>
      <c r="AD51" s="196">
        <v>0</v>
      </c>
      <c r="AE51" s="196">
        <v>0</v>
      </c>
      <c r="AF51" s="196">
        <v>0</v>
      </c>
      <c r="AG51" s="197">
        <v>0</v>
      </c>
      <c r="AH51" s="183"/>
      <c r="AI51" s="198">
        <f>+SUM(E51:AG51)</f>
        <v>3735.9360000000006</v>
      </c>
    </row>
    <row r="52" spans="1:35" ht="14.45" customHeight="1" x14ac:dyDescent="0.25">
      <c r="A52" s="72" t="s">
        <v>133</v>
      </c>
      <c r="B52" s="73" t="s">
        <v>95</v>
      </c>
      <c r="C52" s="186"/>
      <c r="E52" s="199">
        <f>Parametros!$C$135*Parametros!$C$38*Parametros!$C$18/1000*Parametros!$C$136</f>
        <v>5.2992000000000008</v>
      </c>
      <c r="F52" s="200">
        <f>Parametros!$C$135*Parametros!$C$38*Parametros!$C$18/1000*Parametros!$C$136</f>
        <v>5.2992000000000008</v>
      </c>
      <c r="G52" s="200">
        <f>Parametros!$C$135*Parametros!$C$38*Parametros!$C$18/1000*Parametros!$C$136</f>
        <v>5.2992000000000008</v>
      </c>
      <c r="H52" s="200">
        <f>Parametros!$C$135*Parametros!$C$38*Parametros!$C$18/1000*Parametros!$C$136</f>
        <v>5.2992000000000008</v>
      </c>
      <c r="I52" s="200">
        <f>Parametros!$C$135*Parametros!$C$38*Parametros!$C$18/1000*Parametros!$C$136</f>
        <v>5.2992000000000008</v>
      </c>
      <c r="J52" s="200">
        <f>Parametros!$C$135*Parametros!$C$38*Parametros!$C$18/1000*Parametros!$C$136</f>
        <v>5.2992000000000008</v>
      </c>
      <c r="K52" s="200">
        <f>Parametros!$C$135*Parametros!$C$38*Parametros!$C$18/1000*Parametros!$C$136</f>
        <v>5.2992000000000008</v>
      </c>
      <c r="L52" s="200">
        <f>Parametros!$C$135*Parametros!$C$38*Parametros!$C$18/1000*Parametros!$C$136</f>
        <v>5.2992000000000008</v>
      </c>
      <c r="M52" s="196">
        <v>0</v>
      </c>
      <c r="N52" s="196">
        <v>0</v>
      </c>
      <c r="O52" s="196">
        <v>0</v>
      </c>
      <c r="P52" s="196">
        <v>0</v>
      </c>
      <c r="Q52" s="196">
        <v>0</v>
      </c>
      <c r="R52" s="196">
        <v>0</v>
      </c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0</v>
      </c>
      <c r="AC52" s="196">
        <v>0</v>
      </c>
      <c r="AD52" s="196">
        <v>0</v>
      </c>
      <c r="AE52" s="196">
        <v>0</v>
      </c>
      <c r="AF52" s="196">
        <v>0</v>
      </c>
      <c r="AG52" s="197">
        <v>0</v>
      </c>
      <c r="AH52" s="183"/>
      <c r="AI52" s="224">
        <f>+SUM(E52:AG52)</f>
        <v>42.393599999999999</v>
      </c>
    </row>
    <row r="53" spans="1:35" ht="14.45" customHeight="1" x14ac:dyDescent="0.25">
      <c r="B53" s="181" t="s">
        <v>209</v>
      </c>
      <c r="C53" s="186"/>
      <c r="E53" s="201">
        <f t="shared" ref="E53:AG53" si="37">SUM(E42:E52)</f>
        <v>40434.491199999997</v>
      </c>
      <c r="F53" s="201">
        <f t="shared" si="37"/>
        <v>7212.1505503791914</v>
      </c>
      <c r="G53" s="201">
        <f t="shared" si="37"/>
        <v>6603.475835796301</v>
      </c>
      <c r="H53" s="201">
        <f t="shared" si="37"/>
        <v>5933.933649755123</v>
      </c>
      <c r="I53" s="201">
        <f t="shared" si="37"/>
        <v>5197.437245109827</v>
      </c>
      <c r="J53" s="201">
        <f t="shared" si="37"/>
        <v>4387.2912000000006</v>
      </c>
      <c r="K53" s="201">
        <f t="shared" si="37"/>
        <v>4387.2912000000006</v>
      </c>
      <c r="L53" s="201">
        <f t="shared" si="37"/>
        <v>4387.2912000000006</v>
      </c>
      <c r="M53" s="201">
        <f t="shared" si="37"/>
        <v>0</v>
      </c>
      <c r="N53" s="201">
        <f t="shared" si="37"/>
        <v>0</v>
      </c>
      <c r="O53" s="201">
        <f t="shared" si="37"/>
        <v>0</v>
      </c>
      <c r="P53" s="201">
        <f t="shared" si="37"/>
        <v>0</v>
      </c>
      <c r="Q53" s="201">
        <f t="shared" si="37"/>
        <v>0</v>
      </c>
      <c r="R53" s="201">
        <f t="shared" si="37"/>
        <v>0</v>
      </c>
      <c r="S53" s="201">
        <f t="shared" si="37"/>
        <v>0</v>
      </c>
      <c r="T53" s="201">
        <f t="shared" si="37"/>
        <v>0</v>
      </c>
      <c r="U53" s="201">
        <f t="shared" si="37"/>
        <v>0</v>
      </c>
      <c r="V53" s="201">
        <f t="shared" si="37"/>
        <v>0</v>
      </c>
      <c r="W53" s="201">
        <f t="shared" si="37"/>
        <v>0</v>
      </c>
      <c r="X53" s="201">
        <f t="shared" si="37"/>
        <v>0</v>
      </c>
      <c r="Y53" s="201">
        <f t="shared" si="37"/>
        <v>0</v>
      </c>
      <c r="Z53" s="201">
        <f t="shared" si="37"/>
        <v>0</v>
      </c>
      <c r="AA53" s="201">
        <f t="shared" si="37"/>
        <v>0</v>
      </c>
      <c r="AB53" s="201">
        <f t="shared" si="37"/>
        <v>0</v>
      </c>
      <c r="AC53" s="201">
        <f t="shared" si="37"/>
        <v>0</v>
      </c>
      <c r="AD53" s="201">
        <f t="shared" si="37"/>
        <v>0</v>
      </c>
      <c r="AE53" s="201">
        <f t="shared" si="37"/>
        <v>0</v>
      </c>
      <c r="AF53" s="201">
        <f t="shared" si="37"/>
        <v>0</v>
      </c>
      <c r="AG53" s="201">
        <f t="shared" si="37"/>
        <v>0</v>
      </c>
      <c r="AH53" s="183"/>
      <c r="AI53" s="202">
        <f>+SUM(E53:AG53)</f>
        <v>78543.362081040454</v>
      </c>
    </row>
    <row r="54" spans="1:35" ht="14.45" customHeight="1" x14ac:dyDescent="0.25">
      <c r="A54" s="183"/>
      <c r="C54" s="20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</row>
    <row r="55" spans="1:35" ht="14.45" customHeight="1" x14ac:dyDescent="0.25">
      <c r="C55" s="186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183"/>
      <c r="AI55" s="183"/>
    </row>
    <row r="56" spans="1:35" ht="14.45" customHeight="1" x14ac:dyDescent="0.25">
      <c r="A56" s="181" t="s">
        <v>210</v>
      </c>
      <c r="E56" s="205">
        <f t="shared" ref="E56:AG56" si="38">1/(1+$C$3)^E40</f>
        <v>1</v>
      </c>
      <c r="F56" s="205">
        <f t="shared" si="38"/>
        <v>1</v>
      </c>
      <c r="G56" s="205">
        <f t="shared" si="38"/>
        <v>1</v>
      </c>
      <c r="H56" s="205">
        <f t="shared" si="38"/>
        <v>1</v>
      </c>
      <c r="I56" s="205">
        <f t="shared" si="38"/>
        <v>1</v>
      </c>
      <c r="J56" s="205">
        <f t="shared" si="38"/>
        <v>1</v>
      </c>
      <c r="K56" s="205">
        <f t="shared" si="38"/>
        <v>1</v>
      </c>
      <c r="L56" s="205">
        <f t="shared" si="38"/>
        <v>1</v>
      </c>
      <c r="M56" s="205">
        <f t="shared" si="38"/>
        <v>1</v>
      </c>
      <c r="N56" s="205">
        <f t="shared" si="38"/>
        <v>1</v>
      </c>
      <c r="O56" s="205">
        <f t="shared" si="38"/>
        <v>1</v>
      </c>
      <c r="P56" s="205">
        <f t="shared" si="38"/>
        <v>1</v>
      </c>
      <c r="Q56" s="205">
        <f t="shared" si="38"/>
        <v>1</v>
      </c>
      <c r="R56" s="205">
        <f t="shared" si="38"/>
        <v>1</v>
      </c>
      <c r="S56" s="205">
        <f t="shared" si="38"/>
        <v>1</v>
      </c>
      <c r="T56" s="205">
        <f t="shared" si="38"/>
        <v>1</v>
      </c>
      <c r="U56" s="205">
        <f t="shared" si="38"/>
        <v>1</v>
      </c>
      <c r="V56" s="205">
        <f t="shared" si="38"/>
        <v>1</v>
      </c>
      <c r="W56" s="205">
        <f t="shared" si="38"/>
        <v>1</v>
      </c>
      <c r="X56" s="205">
        <f t="shared" si="38"/>
        <v>1</v>
      </c>
      <c r="Y56" s="205">
        <f t="shared" si="38"/>
        <v>1</v>
      </c>
      <c r="Z56" s="205">
        <f t="shared" si="38"/>
        <v>1</v>
      </c>
      <c r="AA56" s="205">
        <f t="shared" si="38"/>
        <v>1</v>
      </c>
      <c r="AB56" s="205">
        <f t="shared" si="38"/>
        <v>1</v>
      </c>
      <c r="AC56" s="205">
        <f t="shared" si="38"/>
        <v>1</v>
      </c>
      <c r="AD56" s="205">
        <f t="shared" si="38"/>
        <v>1</v>
      </c>
      <c r="AE56" s="205">
        <f t="shared" si="38"/>
        <v>1</v>
      </c>
      <c r="AF56" s="205">
        <f t="shared" si="38"/>
        <v>1</v>
      </c>
      <c r="AG56" s="205">
        <f t="shared" si="38"/>
        <v>1</v>
      </c>
      <c r="AH56" s="183"/>
      <c r="AI56" s="183"/>
    </row>
    <row r="57" spans="1:35" ht="14.45" customHeight="1" x14ac:dyDescent="0.25">
      <c r="C57" s="206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183"/>
      <c r="AI57" s="183"/>
    </row>
    <row r="58" spans="1:35" ht="14.45" customHeight="1" x14ac:dyDescent="0.25">
      <c r="A58" s="250" t="s">
        <v>211</v>
      </c>
      <c r="B58" s="250"/>
      <c r="C58" s="181" t="s">
        <v>1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</row>
    <row r="59" spans="1:35" ht="14.45" customHeight="1" x14ac:dyDescent="0.25">
      <c r="A59" s="246" t="s">
        <v>15</v>
      </c>
      <c r="B59" s="29" t="s">
        <v>138</v>
      </c>
      <c r="C59" s="186"/>
      <c r="E59" s="207">
        <f>E42*E$21</f>
        <v>20409</v>
      </c>
      <c r="F59" s="208">
        <f t="shared" ref="F59:AG68" si="39">F42*F$21</f>
        <v>0</v>
      </c>
      <c r="G59" s="208">
        <f t="shared" si="39"/>
        <v>0</v>
      </c>
      <c r="H59" s="208">
        <f t="shared" si="39"/>
        <v>0</v>
      </c>
      <c r="I59" s="208">
        <f t="shared" si="39"/>
        <v>0</v>
      </c>
      <c r="J59" s="208">
        <f t="shared" si="39"/>
        <v>0</v>
      </c>
      <c r="K59" s="208">
        <f t="shared" si="39"/>
        <v>0</v>
      </c>
      <c r="L59" s="208">
        <f t="shared" si="39"/>
        <v>0</v>
      </c>
      <c r="M59" s="208">
        <f t="shared" si="39"/>
        <v>0</v>
      </c>
      <c r="N59" s="208">
        <f t="shared" si="39"/>
        <v>0</v>
      </c>
      <c r="O59" s="208">
        <f t="shared" si="39"/>
        <v>0</v>
      </c>
      <c r="P59" s="208">
        <f t="shared" si="39"/>
        <v>0</v>
      </c>
      <c r="Q59" s="208">
        <f t="shared" si="39"/>
        <v>0</v>
      </c>
      <c r="R59" s="208">
        <f t="shared" si="39"/>
        <v>0</v>
      </c>
      <c r="S59" s="208">
        <f t="shared" si="39"/>
        <v>0</v>
      </c>
      <c r="T59" s="208">
        <f t="shared" si="39"/>
        <v>0</v>
      </c>
      <c r="U59" s="208">
        <f t="shared" si="39"/>
        <v>0</v>
      </c>
      <c r="V59" s="208">
        <f t="shared" si="39"/>
        <v>0</v>
      </c>
      <c r="W59" s="208">
        <f t="shared" si="39"/>
        <v>0</v>
      </c>
      <c r="X59" s="208">
        <f t="shared" si="39"/>
        <v>0</v>
      </c>
      <c r="Y59" s="208">
        <f t="shared" si="39"/>
        <v>0</v>
      </c>
      <c r="Z59" s="208">
        <f t="shared" si="39"/>
        <v>0</v>
      </c>
      <c r="AA59" s="208">
        <f t="shared" si="39"/>
        <v>0</v>
      </c>
      <c r="AB59" s="208">
        <f t="shared" si="39"/>
        <v>0</v>
      </c>
      <c r="AC59" s="208">
        <f t="shared" si="39"/>
        <v>0</v>
      </c>
      <c r="AD59" s="208">
        <f t="shared" si="39"/>
        <v>0</v>
      </c>
      <c r="AE59" s="208">
        <f t="shared" si="39"/>
        <v>0</v>
      </c>
      <c r="AF59" s="208">
        <f t="shared" si="39"/>
        <v>0</v>
      </c>
      <c r="AG59" s="209">
        <f t="shared" si="39"/>
        <v>0</v>
      </c>
      <c r="AH59" s="183"/>
      <c r="AI59" s="210">
        <f t="shared" ref="AI59:AI69" si="40">+SUM(E59:AG59)</f>
        <v>20409</v>
      </c>
    </row>
    <row r="60" spans="1:35" ht="14.45" customHeight="1" x14ac:dyDescent="0.25">
      <c r="A60" s="248"/>
      <c r="B60" s="113" t="s">
        <v>86</v>
      </c>
      <c r="C60" s="186"/>
      <c r="E60" s="211">
        <f t="shared" ref="E60:T60" si="41">E43*E$21</f>
        <v>2000</v>
      </c>
      <c r="F60" s="212">
        <f t="shared" si="41"/>
        <v>0</v>
      </c>
      <c r="G60" s="212">
        <f t="shared" si="41"/>
        <v>0</v>
      </c>
      <c r="H60" s="212">
        <f t="shared" si="41"/>
        <v>0</v>
      </c>
      <c r="I60" s="212">
        <f t="shared" si="41"/>
        <v>0</v>
      </c>
      <c r="J60" s="212">
        <f t="shared" si="41"/>
        <v>0</v>
      </c>
      <c r="K60" s="212">
        <f t="shared" si="41"/>
        <v>0</v>
      </c>
      <c r="L60" s="212">
        <f t="shared" si="41"/>
        <v>0</v>
      </c>
      <c r="M60" s="212">
        <f t="shared" si="41"/>
        <v>0</v>
      </c>
      <c r="N60" s="212">
        <f t="shared" si="41"/>
        <v>0</v>
      </c>
      <c r="O60" s="212">
        <f t="shared" si="41"/>
        <v>0</v>
      </c>
      <c r="P60" s="212">
        <f t="shared" si="41"/>
        <v>0</v>
      </c>
      <c r="Q60" s="212">
        <f t="shared" si="41"/>
        <v>0</v>
      </c>
      <c r="R60" s="212">
        <f t="shared" si="41"/>
        <v>0</v>
      </c>
      <c r="S60" s="212">
        <f t="shared" si="41"/>
        <v>0</v>
      </c>
      <c r="T60" s="212">
        <f t="shared" si="41"/>
        <v>0</v>
      </c>
      <c r="U60" s="212">
        <f t="shared" si="39"/>
        <v>0</v>
      </c>
      <c r="V60" s="212">
        <f t="shared" si="39"/>
        <v>0</v>
      </c>
      <c r="W60" s="212">
        <f t="shared" si="39"/>
        <v>0</v>
      </c>
      <c r="X60" s="212">
        <f t="shared" si="39"/>
        <v>0</v>
      </c>
      <c r="Y60" s="212">
        <f t="shared" si="39"/>
        <v>0</v>
      </c>
      <c r="Z60" s="212">
        <f t="shared" si="39"/>
        <v>0</v>
      </c>
      <c r="AA60" s="212">
        <f t="shared" si="39"/>
        <v>0</v>
      </c>
      <c r="AB60" s="212">
        <f t="shared" si="39"/>
        <v>0</v>
      </c>
      <c r="AC60" s="212">
        <f t="shared" si="39"/>
        <v>0</v>
      </c>
      <c r="AD60" s="212">
        <f t="shared" si="39"/>
        <v>0</v>
      </c>
      <c r="AE60" s="212">
        <f t="shared" si="39"/>
        <v>0</v>
      </c>
      <c r="AF60" s="212">
        <f t="shared" si="39"/>
        <v>0</v>
      </c>
      <c r="AG60" s="213">
        <f t="shared" si="39"/>
        <v>0</v>
      </c>
      <c r="AH60" s="183"/>
      <c r="AI60" s="218">
        <f t="shared" si="40"/>
        <v>2000</v>
      </c>
    </row>
    <row r="61" spans="1:35" ht="14.45" customHeight="1" x14ac:dyDescent="0.25">
      <c r="A61" s="246" t="s">
        <v>16</v>
      </c>
      <c r="B61" s="29" t="s">
        <v>75</v>
      </c>
      <c r="C61" s="186"/>
      <c r="E61" s="207">
        <f t="shared" ref="E61" si="42">E44*E$21</f>
        <v>1900</v>
      </c>
      <c r="F61" s="208">
        <f t="shared" si="39"/>
        <v>0</v>
      </c>
      <c r="G61" s="208">
        <f t="shared" si="39"/>
        <v>0</v>
      </c>
      <c r="H61" s="208">
        <f t="shared" si="39"/>
        <v>0</v>
      </c>
      <c r="I61" s="208">
        <f t="shared" si="39"/>
        <v>0</v>
      </c>
      <c r="J61" s="208">
        <f t="shared" si="39"/>
        <v>0</v>
      </c>
      <c r="K61" s="208">
        <f t="shared" si="39"/>
        <v>0</v>
      </c>
      <c r="L61" s="208">
        <f t="shared" si="39"/>
        <v>0</v>
      </c>
      <c r="M61" s="208">
        <f t="shared" si="39"/>
        <v>0</v>
      </c>
      <c r="N61" s="208">
        <f t="shared" si="39"/>
        <v>0</v>
      </c>
      <c r="O61" s="208">
        <f t="shared" si="39"/>
        <v>0</v>
      </c>
      <c r="P61" s="208">
        <f t="shared" si="39"/>
        <v>0</v>
      </c>
      <c r="Q61" s="208">
        <f t="shared" si="39"/>
        <v>0</v>
      </c>
      <c r="R61" s="208">
        <f t="shared" si="39"/>
        <v>0</v>
      </c>
      <c r="S61" s="208">
        <f t="shared" si="39"/>
        <v>0</v>
      </c>
      <c r="T61" s="208">
        <f t="shared" si="39"/>
        <v>0</v>
      </c>
      <c r="U61" s="208">
        <f t="shared" si="39"/>
        <v>0</v>
      </c>
      <c r="V61" s="208">
        <f t="shared" si="39"/>
        <v>0</v>
      </c>
      <c r="W61" s="208">
        <f t="shared" si="39"/>
        <v>0</v>
      </c>
      <c r="X61" s="208">
        <f t="shared" si="39"/>
        <v>0</v>
      </c>
      <c r="Y61" s="208">
        <f t="shared" si="39"/>
        <v>0</v>
      </c>
      <c r="Z61" s="208">
        <f t="shared" si="39"/>
        <v>0</v>
      </c>
      <c r="AA61" s="208">
        <f t="shared" si="39"/>
        <v>0</v>
      </c>
      <c r="AB61" s="208">
        <f t="shared" si="39"/>
        <v>0</v>
      </c>
      <c r="AC61" s="208">
        <f t="shared" si="39"/>
        <v>0</v>
      </c>
      <c r="AD61" s="208">
        <f t="shared" si="39"/>
        <v>0</v>
      </c>
      <c r="AE61" s="208">
        <f t="shared" si="39"/>
        <v>0</v>
      </c>
      <c r="AF61" s="208">
        <f t="shared" si="39"/>
        <v>0</v>
      </c>
      <c r="AG61" s="209">
        <f t="shared" si="39"/>
        <v>0</v>
      </c>
      <c r="AH61" s="183"/>
      <c r="AI61" s="210">
        <f t="shared" si="40"/>
        <v>1900</v>
      </c>
    </row>
    <row r="62" spans="1:35" ht="14.45" customHeight="1" x14ac:dyDescent="0.25">
      <c r="A62" s="247"/>
      <c r="B62" s="120" t="s">
        <v>122</v>
      </c>
      <c r="C62" s="186"/>
      <c r="E62" s="215">
        <f t="shared" ref="E62" si="43">E45*E$21</f>
        <v>0</v>
      </c>
      <c r="F62" s="216">
        <f t="shared" si="39"/>
        <v>0</v>
      </c>
      <c r="G62" s="216">
        <f t="shared" si="39"/>
        <v>0</v>
      </c>
      <c r="H62" s="216">
        <f t="shared" si="39"/>
        <v>0</v>
      </c>
      <c r="I62" s="216">
        <f t="shared" si="39"/>
        <v>0</v>
      </c>
      <c r="J62" s="216">
        <f t="shared" si="39"/>
        <v>0</v>
      </c>
      <c r="K62" s="216">
        <f t="shared" si="39"/>
        <v>0</v>
      </c>
      <c r="L62" s="216">
        <f t="shared" si="39"/>
        <v>0</v>
      </c>
      <c r="M62" s="216">
        <f t="shared" si="39"/>
        <v>0</v>
      </c>
      <c r="N62" s="216">
        <f t="shared" si="39"/>
        <v>0</v>
      </c>
      <c r="O62" s="216">
        <f t="shared" si="39"/>
        <v>0</v>
      </c>
      <c r="P62" s="216">
        <f t="shared" si="39"/>
        <v>0</v>
      </c>
      <c r="Q62" s="216">
        <f t="shared" si="39"/>
        <v>0</v>
      </c>
      <c r="R62" s="216">
        <f t="shared" si="39"/>
        <v>0</v>
      </c>
      <c r="S62" s="216">
        <f t="shared" si="39"/>
        <v>0</v>
      </c>
      <c r="T62" s="216">
        <f t="shared" si="39"/>
        <v>0</v>
      </c>
      <c r="U62" s="216">
        <f t="shared" si="39"/>
        <v>0</v>
      </c>
      <c r="V62" s="216">
        <f t="shared" si="39"/>
        <v>0</v>
      </c>
      <c r="W62" s="216">
        <f t="shared" si="39"/>
        <v>0</v>
      </c>
      <c r="X62" s="216">
        <f t="shared" si="39"/>
        <v>0</v>
      </c>
      <c r="Y62" s="216">
        <f t="shared" si="39"/>
        <v>0</v>
      </c>
      <c r="Z62" s="216">
        <f t="shared" si="39"/>
        <v>0</v>
      </c>
      <c r="AA62" s="216">
        <f t="shared" si="39"/>
        <v>0</v>
      </c>
      <c r="AB62" s="216">
        <f t="shared" si="39"/>
        <v>0</v>
      </c>
      <c r="AC62" s="216">
        <f t="shared" si="39"/>
        <v>0</v>
      </c>
      <c r="AD62" s="216">
        <f t="shared" si="39"/>
        <v>0</v>
      </c>
      <c r="AE62" s="216">
        <f t="shared" si="39"/>
        <v>0</v>
      </c>
      <c r="AF62" s="216">
        <f t="shared" si="39"/>
        <v>0</v>
      </c>
      <c r="AG62" s="217">
        <f t="shared" si="39"/>
        <v>0</v>
      </c>
      <c r="AH62" s="183"/>
      <c r="AI62" s="214">
        <f t="shared" si="40"/>
        <v>0</v>
      </c>
    </row>
    <row r="63" spans="1:35" ht="14.45" customHeight="1" x14ac:dyDescent="0.25">
      <c r="A63" s="247"/>
      <c r="B63" s="113" t="s">
        <v>76</v>
      </c>
      <c r="C63" s="186"/>
      <c r="E63" s="215">
        <f t="shared" ref="E63" si="44">E46*E$21</f>
        <v>8360</v>
      </c>
      <c r="F63" s="216">
        <f t="shared" si="39"/>
        <v>0</v>
      </c>
      <c r="G63" s="216">
        <f t="shared" si="39"/>
        <v>0</v>
      </c>
      <c r="H63" s="216">
        <f t="shared" si="39"/>
        <v>0</v>
      </c>
      <c r="I63" s="216">
        <f t="shared" si="39"/>
        <v>0</v>
      </c>
      <c r="J63" s="216">
        <f t="shared" si="39"/>
        <v>0</v>
      </c>
      <c r="K63" s="216">
        <f t="shared" si="39"/>
        <v>0</v>
      </c>
      <c r="L63" s="216">
        <f t="shared" si="39"/>
        <v>0</v>
      </c>
      <c r="M63" s="216">
        <f t="shared" si="39"/>
        <v>0</v>
      </c>
      <c r="N63" s="216">
        <f t="shared" si="39"/>
        <v>0</v>
      </c>
      <c r="O63" s="216">
        <f t="shared" si="39"/>
        <v>0</v>
      </c>
      <c r="P63" s="216">
        <f t="shared" si="39"/>
        <v>0</v>
      </c>
      <c r="Q63" s="216">
        <f t="shared" si="39"/>
        <v>0</v>
      </c>
      <c r="R63" s="216">
        <f t="shared" si="39"/>
        <v>0</v>
      </c>
      <c r="S63" s="216">
        <f t="shared" si="39"/>
        <v>0</v>
      </c>
      <c r="T63" s="216">
        <f t="shared" si="39"/>
        <v>0</v>
      </c>
      <c r="U63" s="216">
        <f t="shared" si="39"/>
        <v>0</v>
      </c>
      <c r="V63" s="216">
        <f t="shared" si="39"/>
        <v>0</v>
      </c>
      <c r="W63" s="216">
        <f t="shared" si="39"/>
        <v>0</v>
      </c>
      <c r="X63" s="216">
        <f t="shared" si="39"/>
        <v>0</v>
      </c>
      <c r="Y63" s="216">
        <f t="shared" si="39"/>
        <v>0</v>
      </c>
      <c r="Z63" s="216">
        <f t="shared" si="39"/>
        <v>0</v>
      </c>
      <c r="AA63" s="216">
        <f t="shared" si="39"/>
        <v>0</v>
      </c>
      <c r="AB63" s="216">
        <f t="shared" si="39"/>
        <v>0</v>
      </c>
      <c r="AC63" s="216">
        <f t="shared" si="39"/>
        <v>0</v>
      </c>
      <c r="AD63" s="216">
        <f t="shared" si="39"/>
        <v>0</v>
      </c>
      <c r="AE63" s="216">
        <f t="shared" si="39"/>
        <v>0</v>
      </c>
      <c r="AF63" s="216">
        <f t="shared" si="39"/>
        <v>0</v>
      </c>
      <c r="AG63" s="217">
        <f t="shared" si="39"/>
        <v>0</v>
      </c>
      <c r="AH63" s="183"/>
      <c r="AI63" s="214">
        <f t="shared" si="40"/>
        <v>8360</v>
      </c>
    </row>
    <row r="64" spans="1:35" ht="14.45" customHeight="1" x14ac:dyDescent="0.25">
      <c r="A64" s="247"/>
      <c r="B64" s="113" t="s">
        <v>107</v>
      </c>
      <c r="C64" s="186"/>
      <c r="E64" s="215">
        <f t="shared" ref="E64" si="45">E47*E$21</f>
        <v>0</v>
      </c>
      <c r="F64" s="216">
        <f t="shared" si="39"/>
        <v>0</v>
      </c>
      <c r="G64" s="216">
        <f t="shared" si="39"/>
        <v>0</v>
      </c>
      <c r="H64" s="216">
        <f t="shared" si="39"/>
        <v>0</v>
      </c>
      <c r="I64" s="216">
        <f t="shared" si="39"/>
        <v>0</v>
      </c>
      <c r="J64" s="216">
        <f t="shared" si="39"/>
        <v>0</v>
      </c>
      <c r="K64" s="216">
        <f t="shared" si="39"/>
        <v>0</v>
      </c>
      <c r="L64" s="216">
        <f t="shared" si="39"/>
        <v>0</v>
      </c>
      <c r="M64" s="216">
        <f t="shared" si="39"/>
        <v>0</v>
      </c>
      <c r="N64" s="216">
        <f t="shared" si="39"/>
        <v>0</v>
      </c>
      <c r="O64" s="216">
        <f t="shared" si="39"/>
        <v>0</v>
      </c>
      <c r="P64" s="216">
        <f t="shared" si="39"/>
        <v>0</v>
      </c>
      <c r="Q64" s="216">
        <f t="shared" si="39"/>
        <v>0</v>
      </c>
      <c r="R64" s="216">
        <f t="shared" si="39"/>
        <v>0</v>
      </c>
      <c r="S64" s="216">
        <f t="shared" si="39"/>
        <v>0</v>
      </c>
      <c r="T64" s="216">
        <f t="shared" si="39"/>
        <v>0</v>
      </c>
      <c r="U64" s="216">
        <f t="shared" si="39"/>
        <v>0</v>
      </c>
      <c r="V64" s="216">
        <f t="shared" si="39"/>
        <v>0</v>
      </c>
      <c r="W64" s="216">
        <f t="shared" si="39"/>
        <v>0</v>
      </c>
      <c r="X64" s="216">
        <f t="shared" si="39"/>
        <v>0</v>
      </c>
      <c r="Y64" s="216">
        <f t="shared" si="39"/>
        <v>0</v>
      </c>
      <c r="Z64" s="216">
        <f t="shared" si="39"/>
        <v>0</v>
      </c>
      <c r="AA64" s="216">
        <f t="shared" si="39"/>
        <v>0</v>
      </c>
      <c r="AB64" s="216">
        <f t="shared" si="39"/>
        <v>0</v>
      </c>
      <c r="AC64" s="216">
        <f t="shared" si="39"/>
        <v>0</v>
      </c>
      <c r="AD64" s="216">
        <f t="shared" si="39"/>
        <v>0</v>
      </c>
      <c r="AE64" s="216">
        <f t="shared" si="39"/>
        <v>0</v>
      </c>
      <c r="AF64" s="216">
        <f t="shared" si="39"/>
        <v>0</v>
      </c>
      <c r="AG64" s="217">
        <f t="shared" si="39"/>
        <v>0</v>
      </c>
      <c r="AH64" s="183"/>
      <c r="AI64" s="214">
        <f t="shared" si="40"/>
        <v>0</v>
      </c>
    </row>
    <row r="65" spans="1:35" ht="14.45" customHeight="1" x14ac:dyDescent="0.25">
      <c r="A65" s="247"/>
      <c r="B65" s="113" t="s">
        <v>117</v>
      </c>
      <c r="C65" s="186"/>
      <c r="E65" s="215">
        <f t="shared" ref="E65" si="46">E48*E$21</f>
        <v>855</v>
      </c>
      <c r="F65" s="216">
        <f t="shared" si="39"/>
        <v>855</v>
      </c>
      <c r="G65" s="216">
        <f t="shared" si="39"/>
        <v>855</v>
      </c>
      <c r="H65" s="216">
        <f t="shared" si="39"/>
        <v>855</v>
      </c>
      <c r="I65" s="216">
        <f t="shared" si="39"/>
        <v>855</v>
      </c>
      <c r="J65" s="216">
        <f t="shared" si="39"/>
        <v>855</v>
      </c>
      <c r="K65" s="216">
        <f t="shared" si="39"/>
        <v>855</v>
      </c>
      <c r="L65" s="216">
        <f t="shared" si="39"/>
        <v>855</v>
      </c>
      <c r="M65" s="216">
        <f t="shared" si="39"/>
        <v>0</v>
      </c>
      <c r="N65" s="216">
        <f t="shared" si="39"/>
        <v>0</v>
      </c>
      <c r="O65" s="216">
        <f t="shared" si="39"/>
        <v>0</v>
      </c>
      <c r="P65" s="216">
        <f t="shared" si="39"/>
        <v>0</v>
      </c>
      <c r="Q65" s="216">
        <f t="shared" si="39"/>
        <v>0</v>
      </c>
      <c r="R65" s="216">
        <f t="shared" si="39"/>
        <v>0</v>
      </c>
      <c r="S65" s="216">
        <f t="shared" si="39"/>
        <v>0</v>
      </c>
      <c r="T65" s="216">
        <f t="shared" si="39"/>
        <v>0</v>
      </c>
      <c r="U65" s="216">
        <f t="shared" si="39"/>
        <v>0</v>
      </c>
      <c r="V65" s="216">
        <f t="shared" si="39"/>
        <v>0</v>
      </c>
      <c r="W65" s="216">
        <f t="shared" si="39"/>
        <v>0</v>
      </c>
      <c r="X65" s="216">
        <f t="shared" si="39"/>
        <v>0</v>
      </c>
      <c r="Y65" s="216">
        <f t="shared" si="39"/>
        <v>0</v>
      </c>
      <c r="Z65" s="216">
        <f t="shared" si="39"/>
        <v>0</v>
      </c>
      <c r="AA65" s="216">
        <f t="shared" si="39"/>
        <v>0</v>
      </c>
      <c r="AB65" s="216">
        <f t="shared" si="39"/>
        <v>0</v>
      </c>
      <c r="AC65" s="216">
        <f t="shared" si="39"/>
        <v>0</v>
      </c>
      <c r="AD65" s="216">
        <f t="shared" si="39"/>
        <v>0</v>
      </c>
      <c r="AE65" s="216">
        <f t="shared" si="39"/>
        <v>0</v>
      </c>
      <c r="AF65" s="216">
        <f t="shared" si="39"/>
        <v>0</v>
      </c>
      <c r="AG65" s="217">
        <f t="shared" si="39"/>
        <v>0</v>
      </c>
      <c r="AH65" s="183"/>
      <c r="AI65" s="214">
        <f t="shared" si="40"/>
        <v>6840</v>
      </c>
    </row>
    <row r="66" spans="1:35" ht="14.45" customHeight="1" x14ac:dyDescent="0.25">
      <c r="A66" s="247"/>
      <c r="B66" s="30" t="s">
        <v>92</v>
      </c>
      <c r="C66" s="206"/>
      <c r="E66" s="211">
        <f t="shared" ref="E66" si="47">E49*E$21</f>
        <v>3378.2000000000003</v>
      </c>
      <c r="F66" s="212">
        <f t="shared" si="39"/>
        <v>2824.8593503791913</v>
      </c>
      <c r="G66" s="212">
        <f t="shared" si="39"/>
        <v>2216.1846357963009</v>
      </c>
      <c r="H66" s="212">
        <f t="shared" si="39"/>
        <v>1546.6424497551227</v>
      </c>
      <c r="I66" s="212">
        <f t="shared" si="39"/>
        <v>810.1460451098261</v>
      </c>
      <c r="J66" s="212">
        <f t="shared" si="39"/>
        <v>0</v>
      </c>
      <c r="K66" s="212">
        <f t="shared" si="39"/>
        <v>0</v>
      </c>
      <c r="L66" s="212">
        <f t="shared" si="39"/>
        <v>0</v>
      </c>
      <c r="M66" s="212">
        <f t="shared" si="39"/>
        <v>0</v>
      </c>
      <c r="N66" s="212">
        <f t="shared" si="39"/>
        <v>0</v>
      </c>
      <c r="O66" s="212">
        <f t="shared" si="39"/>
        <v>0</v>
      </c>
      <c r="P66" s="212">
        <f t="shared" si="39"/>
        <v>0</v>
      </c>
      <c r="Q66" s="212">
        <f t="shared" si="39"/>
        <v>0</v>
      </c>
      <c r="R66" s="212">
        <f t="shared" si="39"/>
        <v>0</v>
      </c>
      <c r="S66" s="212">
        <f t="shared" si="39"/>
        <v>0</v>
      </c>
      <c r="T66" s="212">
        <f t="shared" si="39"/>
        <v>0</v>
      </c>
      <c r="U66" s="212">
        <f t="shared" si="39"/>
        <v>0</v>
      </c>
      <c r="V66" s="212">
        <f t="shared" si="39"/>
        <v>0</v>
      </c>
      <c r="W66" s="212">
        <f t="shared" si="39"/>
        <v>0</v>
      </c>
      <c r="X66" s="212">
        <f t="shared" si="39"/>
        <v>0</v>
      </c>
      <c r="Y66" s="212">
        <f t="shared" si="39"/>
        <v>0</v>
      </c>
      <c r="Z66" s="212">
        <f t="shared" si="39"/>
        <v>0</v>
      </c>
      <c r="AA66" s="212">
        <f t="shared" si="39"/>
        <v>0</v>
      </c>
      <c r="AB66" s="212">
        <f t="shared" si="39"/>
        <v>0</v>
      </c>
      <c r="AC66" s="212">
        <f t="shared" si="39"/>
        <v>0</v>
      </c>
      <c r="AD66" s="212">
        <f t="shared" si="39"/>
        <v>0</v>
      </c>
      <c r="AE66" s="212">
        <f t="shared" si="39"/>
        <v>0</v>
      </c>
      <c r="AF66" s="212">
        <f t="shared" si="39"/>
        <v>0</v>
      </c>
      <c r="AG66" s="213">
        <f t="shared" si="39"/>
        <v>0</v>
      </c>
      <c r="AH66" s="183"/>
      <c r="AI66" s="218">
        <f t="shared" si="40"/>
        <v>10776.032481040442</v>
      </c>
    </row>
    <row r="67" spans="1:35" ht="14.45" customHeight="1" x14ac:dyDescent="0.25">
      <c r="A67" s="246" t="s">
        <v>17</v>
      </c>
      <c r="B67" s="113" t="s">
        <v>43</v>
      </c>
      <c r="C67" s="206"/>
      <c r="E67" s="207">
        <f t="shared" ref="E67" si="48">E50*E$21</f>
        <v>3060</v>
      </c>
      <c r="F67" s="208">
        <f t="shared" si="39"/>
        <v>3060</v>
      </c>
      <c r="G67" s="208">
        <f t="shared" si="39"/>
        <v>3060</v>
      </c>
      <c r="H67" s="208">
        <f t="shared" si="39"/>
        <v>3060</v>
      </c>
      <c r="I67" s="208">
        <f t="shared" si="39"/>
        <v>3060</v>
      </c>
      <c r="J67" s="208">
        <f t="shared" si="39"/>
        <v>3060</v>
      </c>
      <c r="K67" s="208">
        <f t="shared" si="39"/>
        <v>3060</v>
      </c>
      <c r="L67" s="208">
        <f t="shared" si="39"/>
        <v>3060</v>
      </c>
      <c r="M67" s="208">
        <f t="shared" si="39"/>
        <v>0</v>
      </c>
      <c r="N67" s="208">
        <f t="shared" si="39"/>
        <v>0</v>
      </c>
      <c r="O67" s="208">
        <f t="shared" si="39"/>
        <v>0</v>
      </c>
      <c r="P67" s="208">
        <f t="shared" si="39"/>
        <v>0</v>
      </c>
      <c r="Q67" s="208">
        <f t="shared" si="39"/>
        <v>0</v>
      </c>
      <c r="R67" s="208">
        <f t="shared" si="39"/>
        <v>0</v>
      </c>
      <c r="S67" s="208">
        <f t="shared" si="39"/>
        <v>0</v>
      </c>
      <c r="T67" s="208">
        <f t="shared" si="39"/>
        <v>0</v>
      </c>
      <c r="U67" s="208">
        <f t="shared" si="39"/>
        <v>0</v>
      </c>
      <c r="V67" s="208">
        <f t="shared" si="39"/>
        <v>0</v>
      </c>
      <c r="W67" s="208">
        <f t="shared" si="39"/>
        <v>0</v>
      </c>
      <c r="X67" s="208">
        <f t="shared" si="39"/>
        <v>0</v>
      </c>
      <c r="Y67" s="208">
        <f t="shared" si="39"/>
        <v>0</v>
      </c>
      <c r="Z67" s="208">
        <f t="shared" si="39"/>
        <v>0</v>
      </c>
      <c r="AA67" s="208">
        <f t="shared" si="39"/>
        <v>0</v>
      </c>
      <c r="AB67" s="208">
        <f t="shared" si="39"/>
        <v>0</v>
      </c>
      <c r="AC67" s="208">
        <f t="shared" si="39"/>
        <v>0</v>
      </c>
      <c r="AD67" s="208">
        <f t="shared" si="39"/>
        <v>0</v>
      </c>
      <c r="AE67" s="208">
        <f t="shared" si="39"/>
        <v>0</v>
      </c>
      <c r="AF67" s="208">
        <f t="shared" si="39"/>
        <v>0</v>
      </c>
      <c r="AG67" s="209">
        <f t="shared" si="39"/>
        <v>0</v>
      </c>
      <c r="AH67" s="183"/>
      <c r="AI67" s="210">
        <f t="shared" si="40"/>
        <v>24480</v>
      </c>
    </row>
    <row r="68" spans="1:35" ht="14.45" customHeight="1" x14ac:dyDescent="0.25">
      <c r="A68" s="247"/>
      <c r="B68" s="30" t="s">
        <v>93</v>
      </c>
      <c r="C68" s="206"/>
      <c r="E68" s="211">
        <f t="shared" ref="E68" si="49">E51*E$21</f>
        <v>466.99200000000002</v>
      </c>
      <c r="F68" s="212">
        <f t="shared" si="39"/>
        <v>466.99200000000002</v>
      </c>
      <c r="G68" s="212">
        <f t="shared" si="39"/>
        <v>466.99200000000002</v>
      </c>
      <c r="H68" s="212">
        <f t="shared" si="39"/>
        <v>466.99200000000002</v>
      </c>
      <c r="I68" s="212">
        <f t="shared" si="39"/>
        <v>466.99200000000002</v>
      </c>
      <c r="J68" s="212">
        <f t="shared" si="39"/>
        <v>466.99200000000002</v>
      </c>
      <c r="K68" s="212">
        <f t="shared" si="39"/>
        <v>466.99200000000002</v>
      </c>
      <c r="L68" s="212">
        <f t="shared" si="39"/>
        <v>466.99200000000002</v>
      </c>
      <c r="M68" s="212">
        <f t="shared" si="39"/>
        <v>0</v>
      </c>
      <c r="N68" s="212">
        <f t="shared" si="39"/>
        <v>0</v>
      </c>
      <c r="O68" s="212">
        <f t="shared" si="39"/>
        <v>0</v>
      </c>
      <c r="P68" s="212">
        <f t="shared" si="39"/>
        <v>0</v>
      </c>
      <c r="Q68" s="212">
        <f t="shared" si="39"/>
        <v>0</v>
      </c>
      <c r="R68" s="212">
        <f t="shared" si="39"/>
        <v>0</v>
      </c>
      <c r="S68" s="212">
        <f t="shared" si="39"/>
        <v>0</v>
      </c>
      <c r="T68" s="212">
        <f t="shared" si="39"/>
        <v>0</v>
      </c>
      <c r="U68" s="212">
        <f t="shared" si="39"/>
        <v>0</v>
      </c>
      <c r="V68" s="212">
        <f t="shared" si="39"/>
        <v>0</v>
      </c>
      <c r="W68" s="212">
        <f t="shared" si="39"/>
        <v>0</v>
      </c>
      <c r="X68" s="212">
        <f t="shared" ref="X68:AG68" si="50">X51*X$21</f>
        <v>0</v>
      </c>
      <c r="Y68" s="212">
        <f t="shared" si="50"/>
        <v>0</v>
      </c>
      <c r="Z68" s="212">
        <f t="shared" si="50"/>
        <v>0</v>
      </c>
      <c r="AA68" s="212">
        <f t="shared" si="50"/>
        <v>0</v>
      </c>
      <c r="AB68" s="212">
        <f t="shared" si="50"/>
        <v>0</v>
      </c>
      <c r="AC68" s="212">
        <f t="shared" si="50"/>
        <v>0</v>
      </c>
      <c r="AD68" s="212">
        <f t="shared" si="50"/>
        <v>0</v>
      </c>
      <c r="AE68" s="212">
        <f t="shared" si="50"/>
        <v>0</v>
      </c>
      <c r="AF68" s="212">
        <f t="shared" si="50"/>
        <v>0</v>
      </c>
      <c r="AG68" s="213">
        <f t="shared" si="50"/>
        <v>0</v>
      </c>
      <c r="AH68" s="183"/>
      <c r="AI68" s="218">
        <f t="shared" si="40"/>
        <v>3735.9360000000006</v>
      </c>
    </row>
    <row r="69" spans="1:35" ht="14.45" customHeight="1" x14ac:dyDescent="0.25">
      <c r="A69" s="72" t="s">
        <v>133</v>
      </c>
      <c r="B69" s="73" t="s">
        <v>95</v>
      </c>
      <c r="E69" s="219">
        <f t="shared" ref="E69:AG69" si="51">E52*E$21</f>
        <v>5.2992000000000008</v>
      </c>
      <c r="F69" s="220">
        <f t="shared" si="51"/>
        <v>5.2992000000000008</v>
      </c>
      <c r="G69" s="220">
        <f t="shared" si="51"/>
        <v>5.2992000000000008</v>
      </c>
      <c r="H69" s="220">
        <f t="shared" si="51"/>
        <v>5.2992000000000008</v>
      </c>
      <c r="I69" s="220">
        <f t="shared" si="51"/>
        <v>5.2992000000000008</v>
      </c>
      <c r="J69" s="220">
        <f t="shared" si="51"/>
        <v>5.2992000000000008</v>
      </c>
      <c r="K69" s="220">
        <f t="shared" si="51"/>
        <v>5.2992000000000008</v>
      </c>
      <c r="L69" s="220">
        <f t="shared" si="51"/>
        <v>5.2992000000000008</v>
      </c>
      <c r="M69" s="220">
        <f t="shared" si="51"/>
        <v>0</v>
      </c>
      <c r="N69" s="220">
        <f t="shared" si="51"/>
        <v>0</v>
      </c>
      <c r="O69" s="220">
        <f t="shared" si="51"/>
        <v>0</v>
      </c>
      <c r="P69" s="220">
        <f t="shared" si="51"/>
        <v>0</v>
      </c>
      <c r="Q69" s="220">
        <f t="shared" si="51"/>
        <v>0</v>
      </c>
      <c r="R69" s="220">
        <f t="shared" si="51"/>
        <v>0</v>
      </c>
      <c r="S69" s="220">
        <f t="shared" si="51"/>
        <v>0</v>
      </c>
      <c r="T69" s="220">
        <f t="shared" si="51"/>
        <v>0</v>
      </c>
      <c r="U69" s="220">
        <f t="shared" si="51"/>
        <v>0</v>
      </c>
      <c r="V69" s="220">
        <f t="shared" si="51"/>
        <v>0</v>
      </c>
      <c r="W69" s="220">
        <f t="shared" si="51"/>
        <v>0</v>
      </c>
      <c r="X69" s="220">
        <f t="shared" si="51"/>
        <v>0</v>
      </c>
      <c r="Y69" s="220">
        <f t="shared" si="51"/>
        <v>0</v>
      </c>
      <c r="Z69" s="220">
        <f t="shared" si="51"/>
        <v>0</v>
      </c>
      <c r="AA69" s="220">
        <f t="shared" si="51"/>
        <v>0</v>
      </c>
      <c r="AB69" s="220">
        <f t="shared" si="51"/>
        <v>0</v>
      </c>
      <c r="AC69" s="220">
        <f t="shared" si="51"/>
        <v>0</v>
      </c>
      <c r="AD69" s="220">
        <f t="shared" si="51"/>
        <v>0</v>
      </c>
      <c r="AE69" s="220">
        <f t="shared" si="51"/>
        <v>0</v>
      </c>
      <c r="AF69" s="220">
        <f t="shared" si="51"/>
        <v>0</v>
      </c>
      <c r="AG69" s="221">
        <f t="shared" si="51"/>
        <v>0</v>
      </c>
      <c r="AI69" s="225">
        <f t="shared" si="40"/>
        <v>42.393599999999999</v>
      </c>
    </row>
    <row r="70" spans="1:35" ht="14.45" customHeight="1" x14ac:dyDescent="0.25">
      <c r="B70" s="181" t="s">
        <v>209</v>
      </c>
      <c r="C70" s="186"/>
      <c r="E70" s="222">
        <f>SUM(E59:E69)</f>
        <v>40434.491199999997</v>
      </c>
      <c r="F70" s="222">
        <f t="shared" ref="F70" si="52">SUM(F59:F69)</f>
        <v>7212.1505503791914</v>
      </c>
      <c r="G70" s="222">
        <f t="shared" ref="G70" si="53">SUM(G59:G69)</f>
        <v>6603.475835796301</v>
      </c>
      <c r="H70" s="222">
        <f t="shared" ref="H70" si="54">SUM(H59:H69)</f>
        <v>5933.933649755123</v>
      </c>
      <c r="I70" s="222">
        <f t="shared" ref="I70" si="55">SUM(I59:I69)</f>
        <v>5197.437245109827</v>
      </c>
      <c r="J70" s="222">
        <f t="shared" ref="J70" si="56">SUM(J59:J69)</f>
        <v>4387.2912000000006</v>
      </c>
      <c r="K70" s="222">
        <f t="shared" ref="K70" si="57">SUM(K59:K69)</f>
        <v>4387.2912000000006</v>
      </c>
      <c r="L70" s="222">
        <f t="shared" ref="L70" si="58">SUM(L59:L69)</f>
        <v>4387.2912000000006</v>
      </c>
      <c r="M70" s="222">
        <f t="shared" ref="M70" si="59">SUM(M59:M69)</f>
        <v>0</v>
      </c>
      <c r="N70" s="222">
        <f t="shared" ref="N70" si="60">SUM(N59:N69)</f>
        <v>0</v>
      </c>
      <c r="O70" s="222">
        <f t="shared" ref="O70" si="61">SUM(O59:O69)</f>
        <v>0</v>
      </c>
      <c r="P70" s="222">
        <f t="shared" ref="P70" si="62">SUM(P59:P69)</f>
        <v>0</v>
      </c>
      <c r="Q70" s="222">
        <f t="shared" ref="Q70" si="63">SUM(Q59:Q69)</f>
        <v>0</v>
      </c>
      <c r="R70" s="222">
        <f t="shared" ref="R70" si="64">SUM(R59:R69)</f>
        <v>0</v>
      </c>
      <c r="S70" s="222">
        <f t="shared" ref="S70" si="65">SUM(S59:S69)</f>
        <v>0</v>
      </c>
      <c r="T70" s="222">
        <f t="shared" ref="T70" si="66">SUM(T59:T69)</f>
        <v>0</v>
      </c>
      <c r="U70" s="222">
        <f t="shared" ref="U70" si="67">SUM(U59:U69)</f>
        <v>0</v>
      </c>
      <c r="V70" s="222">
        <f t="shared" ref="V70" si="68">SUM(V59:V69)</f>
        <v>0</v>
      </c>
      <c r="W70" s="222">
        <f t="shared" ref="W70" si="69">SUM(W59:W69)</f>
        <v>0</v>
      </c>
      <c r="X70" s="222">
        <f t="shared" ref="X70" si="70">SUM(X59:X69)</f>
        <v>0</v>
      </c>
      <c r="Y70" s="222">
        <f t="shared" ref="Y70" si="71">SUM(Y59:Y69)</f>
        <v>0</v>
      </c>
      <c r="Z70" s="222">
        <f t="shared" ref="Z70" si="72">SUM(Z59:Z69)</f>
        <v>0</v>
      </c>
      <c r="AA70" s="222">
        <f t="shared" ref="AA70" si="73">SUM(AA59:AA69)</f>
        <v>0</v>
      </c>
      <c r="AB70" s="222">
        <f t="shared" ref="AB70" si="74">SUM(AB59:AB69)</f>
        <v>0</v>
      </c>
      <c r="AC70" s="222">
        <f t="shared" ref="AC70" si="75">SUM(AC59:AC69)</f>
        <v>0</v>
      </c>
      <c r="AD70" s="222">
        <f t="shared" ref="AD70" si="76">SUM(AD59:AD69)</f>
        <v>0</v>
      </c>
      <c r="AE70" s="222">
        <f t="shared" ref="AE70" si="77">SUM(AE59:AE69)</f>
        <v>0</v>
      </c>
      <c r="AF70" s="222">
        <f t="shared" ref="AF70" si="78">SUM(AF59:AF69)</f>
        <v>0</v>
      </c>
      <c r="AG70" s="222">
        <f t="shared" ref="AG70" si="79">SUM(AG59:AG69)</f>
        <v>0</v>
      </c>
      <c r="AH70" s="183"/>
      <c r="AI70" s="223">
        <f>+SUM(E70:AG70)</f>
        <v>78543.362081040454</v>
      </c>
    </row>
    <row r="71" spans="1:35" ht="14.45" customHeight="1" x14ac:dyDescent="0.25"/>
    <row r="72" spans="1:35" ht="14.45" customHeight="1" x14ac:dyDescent="0.25"/>
    <row r="73" spans="1:35" ht="14.45" customHeight="1" x14ac:dyDescent="0.25"/>
    <row r="74" spans="1:35" ht="14.45" customHeight="1" x14ac:dyDescent="0.25"/>
    <row r="75" spans="1:35" ht="14.45" customHeight="1" x14ac:dyDescent="0.25"/>
    <row r="76" spans="1:35" ht="14.45" customHeight="1" x14ac:dyDescent="0.25"/>
    <row r="77" spans="1:35" ht="14.45" customHeight="1" x14ac:dyDescent="0.25"/>
    <row r="78" spans="1:35" ht="14.45" customHeight="1" x14ac:dyDescent="0.25"/>
    <row r="79" spans="1:35" ht="14.45" customHeight="1" x14ac:dyDescent="0.25"/>
    <row r="80" spans="1:35" ht="14.45" customHeight="1" x14ac:dyDescent="0.25"/>
    <row r="81" customFormat="1" ht="14.45" customHeight="1" x14ac:dyDescent="0.25"/>
    <row r="82" customFormat="1" ht="14.45" customHeight="1" x14ac:dyDescent="0.25"/>
    <row r="83" customFormat="1" ht="14.45" customHeight="1" x14ac:dyDescent="0.25"/>
    <row r="84" customFormat="1" ht="14.45" customHeight="1" x14ac:dyDescent="0.25"/>
    <row r="85" customFormat="1" ht="14.45" customHeight="1" x14ac:dyDescent="0.25"/>
    <row r="86" customFormat="1" ht="14.45" customHeight="1" x14ac:dyDescent="0.25"/>
    <row r="87" customFormat="1" ht="14.45" customHeight="1" x14ac:dyDescent="0.25"/>
    <row r="88" customFormat="1" ht="14.45" customHeight="1" x14ac:dyDescent="0.25"/>
    <row r="89" customFormat="1" ht="14.45" customHeight="1" x14ac:dyDescent="0.25"/>
  </sheetData>
  <mergeCells count="20">
    <mergeCell ref="A1:B1"/>
    <mergeCell ref="A3:B3"/>
    <mergeCell ref="A4:AI4"/>
    <mergeCell ref="A6:B6"/>
    <mergeCell ref="A61:A66"/>
    <mergeCell ref="A67:A68"/>
    <mergeCell ref="A7:A8"/>
    <mergeCell ref="A9:A14"/>
    <mergeCell ref="A15:A16"/>
    <mergeCell ref="A24:A25"/>
    <mergeCell ref="A26:A31"/>
    <mergeCell ref="A32:A33"/>
    <mergeCell ref="A42:A43"/>
    <mergeCell ref="A41:B41"/>
    <mergeCell ref="A44:A49"/>
    <mergeCell ref="A50:A51"/>
    <mergeCell ref="A58:B58"/>
    <mergeCell ref="A59:A60"/>
    <mergeCell ref="A23:B23"/>
    <mergeCell ref="A39:AI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0204-DBA4-425F-A3EA-DFD30BD3E27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B0524F52F67E4081153C8615093171" ma:contentTypeVersion="10" ma:contentTypeDescription="Crear nuevo documento." ma:contentTypeScope="" ma:versionID="0370e9a715345cb64b415ff67f56b2c0">
  <xsd:schema xmlns:xsd="http://www.w3.org/2001/XMLSchema" xmlns:xs="http://www.w3.org/2001/XMLSchema" xmlns:p="http://schemas.microsoft.com/office/2006/metadata/properties" xmlns:ns2="23ffcbdd-96e7-4382-b510-0d674d67940b" xmlns:ns3="d4b2f266-c533-457a-89d9-a5c40a6bf05c" targetNamespace="http://schemas.microsoft.com/office/2006/metadata/properties" ma:root="true" ma:fieldsID="f207876ad1e30acd13f70482eef7e8e0" ns2:_="" ns3:_="">
    <xsd:import namespace="23ffcbdd-96e7-4382-b510-0d674d67940b"/>
    <xsd:import namespace="d4b2f266-c533-457a-89d9-a5c40a6bf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fcbdd-96e7-4382-b510-0d674d6794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2f266-c533-457a-89d9-a5c40a6bf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B3668F-3FC8-4854-ADB3-E64779F51102}"/>
</file>

<file path=customXml/itemProps2.xml><?xml version="1.0" encoding="utf-8"?>
<ds:datastoreItem xmlns:ds="http://schemas.openxmlformats.org/officeDocument/2006/customXml" ds:itemID="{34902EFB-9383-44F1-8CCD-D098E5A33C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10E25-55EE-4D54-A736-E8E532405C35}">
  <ds:schemaRefs>
    <ds:schemaRef ds:uri="http://schemas.microsoft.com/office/infopath/2007/PartnerControls"/>
    <ds:schemaRef ds:uri="http://purl.org/dc/elements/1.1/"/>
    <ds:schemaRef ds:uri="23ffcbdd-96e7-4382-b510-0d674d67940b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d4b2f266-c533-457a-89d9-a5c40a6bf05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Parametros</vt:lpstr>
      <vt:lpstr>CTP</vt:lpstr>
      <vt:lpstr>CTP Valor Presente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ORTIZ</dc:creator>
  <cp:lastModifiedBy>Juan Marquez</cp:lastModifiedBy>
  <dcterms:created xsi:type="dcterms:W3CDTF">2021-02-04T22:22:20Z</dcterms:created>
  <dcterms:modified xsi:type="dcterms:W3CDTF">2022-03-12T17:21:46Z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0x010100F2B0524F52F67E4081153C8615093171</vt:lpwstr>
  </property>
</Properties>
</file>