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1587" documentId="8_{9D0DEC2F-002C-4EA0-A8E8-5DB80D644BF1}" xr6:coauthVersionLast="47" xr6:coauthVersionMax="47" xr10:uidLastSave="{B7171E3C-B405-42C7-A9D2-EF6D2B3F419B}"/>
  <bookViews>
    <workbookView xWindow="-120" yWindow="-120" windowWidth="20730" windowHeight="11160" activeTab="2" xr2:uid="{65EA8566-DC1E-4FF9-8F61-CC6F42DA5822}"/>
  </bookViews>
  <sheets>
    <sheet name="Instrucciones" sheetId="5" r:id="rId1"/>
    <sheet name="Parametros" sheetId="1" r:id="rId2"/>
    <sheet name="CTP" sheetId="2" r:id="rId3"/>
    <sheet name="CTP Valor Presente" sheetId="3" r:id="rId4"/>
    <sheet name="Fuentes" sheetId="4" r:id="rId5"/>
  </sheets>
  <externalReferences>
    <externalReference r:id="rId6"/>
  </externalReferenc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0" i="1" l="1"/>
  <c r="F72" i="1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E63" i="3"/>
  <c r="E64" i="3"/>
  <c r="E65" i="3"/>
  <c r="E66" i="3"/>
  <c r="E67" i="3"/>
  <c r="E68" i="3"/>
  <c r="E69" i="3"/>
  <c r="E70" i="3"/>
  <c r="E71" i="3"/>
  <c r="E72" i="3"/>
  <c r="E73" i="3"/>
  <c r="E50" i="3"/>
  <c r="E49" i="3"/>
  <c r="E48" i="3"/>
  <c r="E47" i="3"/>
  <c r="E46" i="3"/>
  <c r="E45" i="3"/>
  <c r="E44" i="3"/>
  <c r="E62" i="3" s="1"/>
  <c r="F55" i="3"/>
  <c r="G55" i="3"/>
  <c r="AI55" i="3" s="1"/>
  <c r="H55" i="3"/>
  <c r="I55" i="3"/>
  <c r="J55" i="3"/>
  <c r="E55" i="3"/>
  <c r="F54" i="3"/>
  <c r="G54" i="3"/>
  <c r="H54" i="3"/>
  <c r="I54" i="3"/>
  <c r="J54" i="3"/>
  <c r="E54" i="3"/>
  <c r="F53" i="3"/>
  <c r="AI53" i="3" s="1"/>
  <c r="G53" i="3"/>
  <c r="H53" i="3"/>
  <c r="I53" i="3"/>
  <c r="J53" i="3"/>
  <c r="E53" i="3"/>
  <c r="I57" i="3"/>
  <c r="G52" i="3"/>
  <c r="F52" i="3"/>
  <c r="E52" i="3"/>
  <c r="G51" i="3"/>
  <c r="H51" i="3"/>
  <c r="I51" i="3"/>
  <c r="I56" i="3" s="1"/>
  <c r="J51" i="3"/>
  <c r="F51" i="3"/>
  <c r="E51" i="3"/>
  <c r="AI49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L56" i="3"/>
  <c r="K56" i="3"/>
  <c r="AI54" i="3"/>
  <c r="J56" i="3"/>
  <c r="AI50" i="3"/>
  <c r="M48" i="3"/>
  <c r="M56" i="3" s="1"/>
  <c r="AI48" i="3"/>
  <c r="AI46" i="3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F29" i="3"/>
  <c r="G29" i="3"/>
  <c r="H29" i="3"/>
  <c r="I29" i="3"/>
  <c r="J29" i="3"/>
  <c r="K29" i="3"/>
  <c r="L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E26" i="3"/>
  <c r="E27" i="3"/>
  <c r="E28" i="3"/>
  <c r="E29" i="3"/>
  <c r="E30" i="3"/>
  <c r="E31" i="3"/>
  <c r="E32" i="3"/>
  <c r="E33" i="3"/>
  <c r="E34" i="3"/>
  <c r="E35" i="3"/>
  <c r="E36" i="3"/>
  <c r="E25" i="3"/>
  <c r="F18" i="3"/>
  <c r="G18" i="3"/>
  <c r="H18" i="3"/>
  <c r="I18" i="3"/>
  <c r="J18" i="3"/>
  <c r="E18" i="3"/>
  <c r="F17" i="3"/>
  <c r="G17" i="3"/>
  <c r="H17" i="3"/>
  <c r="I17" i="3"/>
  <c r="J17" i="3"/>
  <c r="E17" i="3"/>
  <c r="F16" i="3"/>
  <c r="G16" i="3"/>
  <c r="H16" i="3"/>
  <c r="I16" i="3"/>
  <c r="J16" i="3"/>
  <c r="E16" i="3"/>
  <c r="G15" i="3"/>
  <c r="F15" i="3"/>
  <c r="E15" i="3"/>
  <c r="C12" i="2"/>
  <c r="E12" i="2"/>
  <c r="G14" i="3"/>
  <c r="H14" i="3"/>
  <c r="I14" i="3"/>
  <c r="J14" i="3"/>
  <c r="F14" i="3"/>
  <c r="E14" i="3"/>
  <c r="C11" i="2"/>
  <c r="E11" i="3"/>
  <c r="E12" i="3"/>
  <c r="E13" i="3"/>
  <c r="E10" i="3"/>
  <c r="E9" i="3"/>
  <c r="AI9" i="3" s="1"/>
  <c r="E8" i="3"/>
  <c r="E7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L19" i="3"/>
  <c r="AI17" i="3"/>
  <c r="J19" i="3"/>
  <c r="AI13" i="3"/>
  <c r="AI12" i="3"/>
  <c r="M11" i="3"/>
  <c r="M29" i="3" s="1"/>
  <c r="AI10" i="3"/>
  <c r="AI8" i="3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72" i="1"/>
  <c r="C74" i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73" i="1"/>
  <c r="C72" i="1"/>
  <c r="B74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73" i="1"/>
  <c r="C65" i="1"/>
  <c r="C61" i="1"/>
  <c r="B72" i="1" s="1"/>
  <c r="AI11" i="3" l="1"/>
  <c r="AI73" i="3"/>
  <c r="L74" i="3"/>
  <c r="T74" i="3"/>
  <c r="AB74" i="3"/>
  <c r="H56" i="3"/>
  <c r="AI52" i="3"/>
  <c r="G56" i="3"/>
  <c r="H74" i="3"/>
  <c r="I74" i="3"/>
  <c r="F56" i="3"/>
  <c r="AI45" i="3"/>
  <c r="AI44" i="3"/>
  <c r="J74" i="3"/>
  <c r="R74" i="3"/>
  <c r="Z74" i="3"/>
  <c r="AI63" i="3"/>
  <c r="AI71" i="3"/>
  <c r="AI51" i="3"/>
  <c r="K74" i="3"/>
  <c r="S74" i="3"/>
  <c r="AA74" i="3"/>
  <c r="AI68" i="3"/>
  <c r="AI62" i="3"/>
  <c r="M74" i="3"/>
  <c r="U74" i="3"/>
  <c r="AC74" i="3"/>
  <c r="AI70" i="3"/>
  <c r="F74" i="3"/>
  <c r="N74" i="3"/>
  <c r="V74" i="3"/>
  <c r="AD74" i="3"/>
  <c r="AI67" i="3"/>
  <c r="O74" i="3"/>
  <c r="W74" i="3"/>
  <c r="AE74" i="3"/>
  <c r="AI64" i="3"/>
  <c r="AI72" i="3"/>
  <c r="P74" i="3"/>
  <c r="X74" i="3"/>
  <c r="AF74" i="3"/>
  <c r="Q74" i="3"/>
  <c r="Y74" i="3"/>
  <c r="AG74" i="3"/>
  <c r="AI66" i="3"/>
  <c r="AI16" i="3"/>
  <c r="I19" i="3"/>
  <c r="AI14" i="3"/>
  <c r="I37" i="3"/>
  <c r="AI7" i="3"/>
  <c r="AI33" i="3"/>
  <c r="E19" i="3"/>
  <c r="M19" i="3"/>
  <c r="G19" i="3"/>
  <c r="AI18" i="3"/>
  <c r="F19" i="3"/>
  <c r="H19" i="3"/>
  <c r="AI30" i="3"/>
  <c r="AI15" i="3"/>
  <c r="AI25" i="3"/>
  <c r="K37" i="3"/>
  <c r="AC37" i="3"/>
  <c r="AI35" i="3"/>
  <c r="K19" i="3"/>
  <c r="J37" i="3"/>
  <c r="L37" i="3"/>
  <c r="AI31" i="3"/>
  <c r="AI69" i="3" l="1"/>
  <c r="G74" i="3"/>
  <c r="AB37" i="3"/>
  <c r="H37" i="3"/>
  <c r="S37" i="3"/>
  <c r="AI36" i="3"/>
  <c r="AD37" i="3"/>
  <c r="T37" i="3"/>
  <c r="Z37" i="3"/>
  <c r="R37" i="3"/>
  <c r="AG37" i="3"/>
  <c r="Y37" i="3"/>
  <c r="U37" i="3"/>
  <c r="Q37" i="3"/>
  <c r="AI34" i="3"/>
  <c r="M37" i="3"/>
  <c r="AA37" i="3"/>
  <c r="AI27" i="3"/>
  <c r="V37" i="3"/>
  <c r="N37" i="3"/>
  <c r="AI26" i="3"/>
  <c r="E37" i="3"/>
  <c r="F37" i="3"/>
  <c r="AI28" i="3"/>
  <c r="AE37" i="3"/>
  <c r="AF37" i="3"/>
  <c r="W37" i="3"/>
  <c r="X37" i="3"/>
  <c r="O37" i="3"/>
  <c r="AI29" i="3"/>
  <c r="P37" i="3"/>
  <c r="G37" i="3"/>
  <c r="AI32" i="3"/>
  <c r="AI19" i="3"/>
  <c r="AI37" i="3" l="1"/>
  <c r="C21" i="1" l="1"/>
  <c r="I9" i="1"/>
  <c r="C9" i="1" l="1"/>
  <c r="E6" i="2" l="1"/>
  <c r="I41" i="1"/>
  <c r="H41" i="1"/>
  <c r="H13" i="1" l="1"/>
  <c r="H12" i="1"/>
  <c r="H10" i="1"/>
  <c r="I8" i="1"/>
  <c r="H8" i="1"/>
  <c r="I7" i="1"/>
  <c r="D101" i="2"/>
  <c r="C101" i="2"/>
  <c r="E4" i="2" l="1"/>
  <c r="E29" i="2" s="1"/>
  <c r="E11" i="2" l="1"/>
  <c r="E7" i="2"/>
  <c r="E9" i="2"/>
  <c r="E10" i="2"/>
  <c r="E8" i="2"/>
  <c r="C44" i="1"/>
  <c r="E99" i="2" l="1"/>
  <c r="F99" i="2" s="1"/>
  <c r="E98" i="2"/>
  <c r="E97" i="2"/>
  <c r="C22" i="1"/>
  <c r="I10" i="1" s="1"/>
  <c r="F97" i="2" l="1"/>
  <c r="F98" i="2"/>
  <c r="B132" i="2"/>
  <c r="D161" i="2" s="1"/>
  <c r="C45" i="1" l="1"/>
  <c r="C42" i="1"/>
  <c r="C41" i="1"/>
  <c r="I6" i="1"/>
  <c r="H6" i="1"/>
  <c r="C13" i="2" l="1"/>
  <c r="E13" i="2"/>
  <c r="D42" i="2"/>
  <c r="D41" i="2"/>
  <c r="F123" i="2" s="1"/>
  <c r="D40" i="2"/>
  <c r="F122" i="2" s="1"/>
  <c r="D39" i="2"/>
  <c r="F121" i="2" s="1"/>
  <c r="F94" i="2" l="1"/>
  <c r="E94" i="2"/>
  <c r="C29" i="1"/>
  <c r="E5" i="2" l="1"/>
  <c r="C4" i="2"/>
  <c r="C10" i="2" l="1"/>
  <c r="C8" i="2"/>
  <c r="C96" i="2" s="1"/>
  <c r="D96" i="2" s="1"/>
  <c r="C9" i="2"/>
  <c r="C7" i="2"/>
  <c r="C37" i="2" s="1"/>
  <c r="D43" i="2"/>
  <c r="D36" i="2"/>
  <c r="F118" i="2" s="1"/>
  <c r="C132" i="1"/>
  <c r="D38" i="2"/>
  <c r="D35" i="2"/>
  <c r="F117" i="2" s="1"/>
  <c r="E93" i="2"/>
  <c r="D34" i="2"/>
  <c r="F116" i="2" s="1"/>
  <c r="E96" i="2"/>
  <c r="F96" i="2" s="1"/>
  <c r="C93" i="2"/>
  <c r="D93" i="2" s="1"/>
  <c r="C42" i="2" l="1"/>
  <c r="C39" i="2"/>
  <c r="C121" i="2" s="1"/>
  <c r="C97" i="2"/>
  <c r="C41" i="2"/>
  <c r="C123" i="2" s="1"/>
  <c r="C99" i="2"/>
  <c r="C40" i="2"/>
  <c r="C122" i="2" s="1"/>
  <c r="C98" i="2"/>
  <c r="F36" i="2"/>
  <c r="I42" i="1"/>
  <c r="F34" i="2"/>
  <c r="D37" i="2"/>
  <c r="F119" i="2" s="1"/>
  <c r="G34" i="2"/>
  <c r="G36" i="2"/>
  <c r="H42" i="1"/>
  <c r="G117" i="2" s="1"/>
  <c r="F93" i="2"/>
  <c r="B133" i="2"/>
  <c r="D162" i="2" s="1"/>
  <c r="B131" i="2"/>
  <c r="D160" i="2" s="1"/>
  <c r="H44" i="1"/>
  <c r="H45" i="1" s="1"/>
  <c r="I44" i="1"/>
  <c r="I45" i="1" s="1"/>
  <c r="E101" i="2" l="1"/>
  <c r="G125" i="2" s="1"/>
  <c r="G123" i="2"/>
  <c r="G121" i="2"/>
  <c r="G122" i="2"/>
  <c r="H120" i="2"/>
  <c r="F101" i="2"/>
  <c r="H125" i="2" s="1"/>
  <c r="H123" i="2"/>
  <c r="H122" i="2"/>
  <c r="H121" i="2"/>
  <c r="D98" i="2"/>
  <c r="E122" i="2" s="1"/>
  <c r="D122" i="2"/>
  <c r="D99" i="2"/>
  <c r="E123" i="2" s="1"/>
  <c r="D123" i="2"/>
  <c r="D97" i="2"/>
  <c r="E121" i="2" s="1"/>
  <c r="D121" i="2"/>
  <c r="H34" i="2"/>
  <c r="F35" i="2"/>
  <c r="H118" i="2"/>
  <c r="H117" i="2"/>
  <c r="G35" i="2"/>
  <c r="H36" i="2"/>
  <c r="G120" i="2"/>
  <c r="G118" i="2"/>
  <c r="E125" i="2"/>
  <c r="F130" i="1"/>
  <c r="D125" i="2"/>
  <c r="H130" i="1"/>
  <c r="G130" i="1"/>
  <c r="I130" i="1"/>
  <c r="E120" i="2"/>
  <c r="E117" i="2"/>
  <c r="D117" i="2"/>
  <c r="D120" i="2"/>
  <c r="F120" i="2"/>
  <c r="H35" i="2" l="1"/>
  <c r="F103" i="2"/>
  <c r="H127" i="2" s="1"/>
  <c r="C103" i="2"/>
  <c r="D127" i="2" s="1"/>
  <c r="D103" i="2"/>
  <c r="E127" i="2" s="1"/>
  <c r="E103" i="2"/>
  <c r="G127" i="2" s="1"/>
  <c r="E92" i="2"/>
  <c r="G116" i="2" s="1"/>
  <c r="F92" i="2" l="1"/>
  <c r="H116" i="2" s="1"/>
  <c r="C36" i="2" l="1"/>
  <c r="C129" i="1"/>
  <c r="C131" i="1" s="1"/>
  <c r="C17" i="2" s="1"/>
  <c r="C35" i="2"/>
  <c r="C117" i="2" s="1"/>
  <c r="C43" i="2"/>
  <c r="C38" i="2"/>
  <c r="C120" i="2" s="1"/>
  <c r="C119" i="2"/>
  <c r="C34" i="2"/>
  <c r="C116" i="2" s="1"/>
  <c r="C124" i="2"/>
  <c r="E95" i="2"/>
  <c r="G119" i="2" s="1"/>
  <c r="C92" i="2"/>
  <c r="D116" i="2" s="1"/>
  <c r="E17" i="2"/>
  <c r="D45" i="2" s="1"/>
  <c r="C95" i="2"/>
  <c r="D119" i="2" s="1"/>
  <c r="C45" i="2" l="1"/>
  <c r="C127" i="2" s="1"/>
  <c r="F124" i="2"/>
  <c r="E100" i="2"/>
  <c r="G124" i="2" s="1"/>
  <c r="F95" i="2"/>
  <c r="H119" i="2" s="1"/>
  <c r="D95" i="2"/>
  <c r="E119" i="2" s="1"/>
  <c r="D92" i="2"/>
  <c r="E116" i="2" s="1"/>
  <c r="F125" i="2"/>
  <c r="F127" i="2"/>
  <c r="C125" i="2"/>
  <c r="F100" i="2" l="1"/>
  <c r="H124" i="2" s="1"/>
  <c r="C100" i="2"/>
  <c r="D124" i="2" s="1"/>
  <c r="D100" i="2" l="1"/>
  <c r="E124" i="2" l="1"/>
  <c r="D102" i="2" l="1"/>
  <c r="C14" i="2"/>
  <c r="C102" i="2"/>
  <c r="E14" i="2" l="1"/>
  <c r="E102" i="2"/>
  <c r="F102" i="2"/>
  <c r="C15" i="2"/>
  <c r="C44" i="2"/>
  <c r="C20" i="2"/>
  <c r="C21" i="2" s="1"/>
  <c r="D126" i="2"/>
  <c r="D128" i="2" s="1"/>
  <c r="C133" i="2" s="1"/>
  <c r="F162" i="2" s="1"/>
  <c r="E162" i="2" s="1"/>
  <c r="C104" i="2"/>
  <c r="C105" i="2"/>
  <c r="C106" i="2" s="1"/>
  <c r="C109" i="2"/>
  <c r="C110" i="2" s="1"/>
  <c r="D109" i="2"/>
  <c r="D110" i="2" s="1"/>
  <c r="E126" i="2"/>
  <c r="E128" i="2" s="1"/>
  <c r="C131" i="2" s="1"/>
  <c r="F160" i="2" s="1"/>
  <c r="E160" i="2" s="1"/>
  <c r="D105" i="2"/>
  <c r="D106" i="2" s="1"/>
  <c r="C126" i="2" l="1"/>
  <c r="C128" i="2" s="1"/>
  <c r="C132" i="2" s="1"/>
  <c r="F161" i="2" s="1"/>
  <c r="E161" i="2" s="1"/>
  <c r="F109" i="2"/>
  <c r="F110" i="2" s="1"/>
  <c r="F105" i="2"/>
  <c r="F106" i="2" s="1"/>
  <c r="H126" i="2"/>
  <c r="H128" i="2" s="1"/>
  <c r="D131" i="2" s="1"/>
  <c r="H160" i="2" s="1"/>
  <c r="G160" i="2" s="1"/>
  <c r="E104" i="2"/>
  <c r="G126" i="2"/>
  <c r="G128" i="2" s="1"/>
  <c r="D133" i="2" s="1"/>
  <c r="H162" i="2" s="1"/>
  <c r="G162" i="2" s="1"/>
  <c r="E109" i="2"/>
  <c r="E110" i="2" s="1"/>
  <c r="E105" i="2"/>
  <c r="E106" i="2" s="1"/>
  <c r="E15" i="2"/>
  <c r="F14" i="2" s="1"/>
  <c r="E20" i="2"/>
  <c r="E21" i="2" s="1"/>
  <c r="D44" i="2"/>
  <c r="F126" i="2" s="1"/>
  <c r="F128" i="2" s="1"/>
  <c r="D132" i="2" s="1"/>
  <c r="H161" i="2" s="1"/>
  <c r="G161" i="2" s="1"/>
  <c r="D13" i="2"/>
  <c r="C16" i="2"/>
  <c r="D8" i="2"/>
  <c r="D7" i="2"/>
  <c r="D4" i="2"/>
  <c r="D10" i="2"/>
  <c r="D12" i="2"/>
  <c r="D11" i="2"/>
  <c r="D5" i="2"/>
  <c r="C18" i="2"/>
  <c r="D6" i="2"/>
  <c r="D9" i="2"/>
  <c r="D14" i="2"/>
  <c r="E56" i="3" l="1"/>
  <c r="AI56" i="3" s="1"/>
  <c r="AI47" i="3"/>
  <c r="F6" i="2"/>
  <c r="F13" i="2"/>
  <c r="F8" i="2"/>
  <c r="F11" i="2"/>
  <c r="F5" i="2"/>
  <c r="F4" i="2"/>
  <c r="E16" i="2"/>
  <c r="F9" i="2"/>
  <c r="F10" i="2"/>
  <c r="F7" i="2"/>
  <c r="F12" i="2"/>
  <c r="E18" i="2"/>
  <c r="C24" i="2"/>
  <c r="C25" i="2" s="1"/>
  <c r="C19" i="2"/>
  <c r="AI65" i="3" l="1"/>
  <c r="E74" i="3"/>
  <c r="AI74" i="3" s="1"/>
  <c r="E19" i="2"/>
  <c r="E24" i="2"/>
  <c r="E25" i="2" s="1"/>
  <c r="F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Marquez</author>
    <author>NATHALIA ORTIZ</author>
  </authors>
  <commentList>
    <comment ref="A65" authorId="0" shapeId="0" xr:uid="{F9E16CA7-8D22-4985-A79B-4AEE8ECCBF0E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C70" authorId="1" shapeId="0" xr:uid="{CD81303F-1F3E-4FCC-997F-5B7E39A79760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D70" authorId="1" shapeId="0" xr:uid="{A275C763-14DF-4E19-B6B7-6ED82065CD83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'Llano'</t>
        </r>
      </text>
    </comment>
  </commentList>
</comments>
</file>

<file path=xl/sharedStrings.xml><?xml version="1.0" encoding="utf-8"?>
<sst xmlns="http://schemas.openxmlformats.org/spreadsheetml/2006/main" count="487" uniqueCount="193">
  <si>
    <t>CAPEX</t>
  </si>
  <si>
    <t>USD</t>
  </si>
  <si>
    <t>L/100km</t>
  </si>
  <si>
    <t>USD/km</t>
  </si>
  <si>
    <t>kWh/km</t>
  </si>
  <si>
    <t>%CAPEX</t>
  </si>
  <si>
    <t>USD/kWh</t>
  </si>
  <si>
    <t>kWh</t>
  </si>
  <si>
    <t>km</t>
  </si>
  <si>
    <t>days/year</t>
  </si>
  <si>
    <t>%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</si>
  <si>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</si>
  <si>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</si>
  <si>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</si>
  <si>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</si>
  <si>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</si>
  <si>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</si>
  <si>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</si>
  <si>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</si>
  <si>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</si>
  <si>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</si>
  <si>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ICE</t>
  </si>
  <si>
    <t>TOTAL</t>
  </si>
  <si>
    <t>BEV</t>
  </si>
  <si>
    <t>TCO</t>
  </si>
  <si>
    <t>KWh</t>
  </si>
  <si>
    <t>Gasolina Super</t>
  </si>
  <si>
    <t>https://www.energy.gov/sites/prod/files/2017/02/f34/67089%20EERE%20LIB%20cost%20vs%20price%20metrics%20r9.pdf</t>
  </si>
  <si>
    <t>CAPEX LCV</t>
  </si>
  <si>
    <t>MIEM 2018</t>
  </si>
  <si>
    <t>IMESI</t>
  </si>
  <si>
    <t>TGA</t>
  </si>
  <si>
    <t>Patente año 1</t>
  </si>
  <si>
    <t>BCU (2020)</t>
  </si>
  <si>
    <t>Patente año 2+</t>
  </si>
  <si>
    <t>CEPAL 2019</t>
  </si>
  <si>
    <t>-</t>
  </si>
  <si>
    <t>Equity</t>
  </si>
  <si>
    <t>Vida útil</t>
  </si>
  <si>
    <t>Eficiencia vehicular</t>
  </si>
  <si>
    <t>Costos de mantenimiento</t>
  </si>
  <si>
    <t>años</t>
  </si>
  <si>
    <t>Tamaño de la batería</t>
  </si>
  <si>
    <t>Vida útil de la batería</t>
  </si>
  <si>
    <t>Parámetro</t>
  </si>
  <si>
    <t>Unidad</t>
  </si>
  <si>
    <t>Valor</t>
  </si>
  <si>
    <t>Fuente</t>
  </si>
  <si>
    <t>CAPEX vehículo</t>
  </si>
  <si>
    <t>CAPEX cargador</t>
  </si>
  <si>
    <t>Vida útil del cargador</t>
  </si>
  <si>
    <t>(0 reemplazos de batería) misma que la vida útil de la batería</t>
  </si>
  <si>
    <t>Reducción del costo de la batería 2020-2028</t>
  </si>
  <si>
    <t>Proyecciones del US DOE</t>
  </si>
  <si>
    <t>Reducción del costo de la batería 2020-2038</t>
  </si>
  <si>
    <t>2 - Datos de actividad</t>
  </si>
  <si>
    <t>Sensibilidad</t>
  </si>
  <si>
    <t>Kilómetros por año</t>
  </si>
  <si>
    <t>Total kilómetros ICE</t>
  </si>
  <si>
    <t>Total kilómetros BEV</t>
  </si>
  <si>
    <t>Días operativos por año</t>
  </si>
  <si>
    <t>Recorrido diario</t>
  </si>
  <si>
    <t>Consumo de energía diario</t>
  </si>
  <si>
    <t>km/año</t>
  </si>
  <si>
    <t>días/año</t>
  </si>
  <si>
    <t>Valor estándar</t>
  </si>
  <si>
    <t>Calculado</t>
  </si>
  <si>
    <t>Proporción de la financiación de la deuda</t>
  </si>
  <si>
    <t>Tenencia del préstamo</t>
  </si>
  <si>
    <t>Tasa de interés ICE</t>
  </si>
  <si>
    <t>Tasa de interés BEV</t>
  </si>
  <si>
    <t>Moneda local a USD</t>
  </si>
  <si>
    <t>3 - Costos de financiamiento</t>
  </si>
  <si>
    <t>4 - Costos de energía</t>
  </si>
  <si>
    <t>Gasolina</t>
  </si>
  <si>
    <t>5 - Impuestos</t>
  </si>
  <si>
    <t>Tasa consular</t>
  </si>
  <si>
    <t>IVA</t>
  </si>
  <si>
    <t>Proyección CAPEX</t>
  </si>
  <si>
    <t>Año</t>
  </si>
  <si>
    <t>FE red (tCO2/MWh)</t>
  </si>
  <si>
    <t>Costo de CO2e</t>
  </si>
  <si>
    <t>Emisiones totales ICE</t>
  </si>
  <si>
    <t>Emisiones totales BEV</t>
  </si>
  <si>
    <t>Costo Emisiones ICE</t>
  </si>
  <si>
    <t>Costo Emisiones BEV</t>
  </si>
  <si>
    <t>Sensibilidad Costos de emisión</t>
  </si>
  <si>
    <t>1 - Información del vehículo</t>
  </si>
  <si>
    <t>CAPEX cargador para casa</t>
  </si>
  <si>
    <t>CAPEX batería</t>
  </si>
  <si>
    <t>Proporción de carga en casa</t>
  </si>
  <si>
    <t>Proporción de carga rápida pública</t>
  </si>
  <si>
    <t>Basado en ABB</t>
  </si>
  <si>
    <t>%/año</t>
  </si>
  <si>
    <t>Mon. local/USD</t>
  </si>
  <si>
    <t>Electricidad - carga en casa</t>
  </si>
  <si>
    <t>Electricidad</t>
  </si>
  <si>
    <t>6 - Emisiones GEI</t>
  </si>
  <si>
    <t>CTP 2021</t>
  </si>
  <si>
    <t>Contribución</t>
  </si>
  <si>
    <t>Reemplazo de batería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</si>
  <si>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</si>
  <si>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</si>
  <si>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</si>
  <si>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</si>
  <si>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</si>
  <si>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</si>
  <si>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</si>
  <si>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</si>
  <si>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</si>
  <si>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USD/año</t>
  </si>
  <si>
    <t>CTP 2021 (USD/km)</t>
  </si>
  <si>
    <t>Inversión de capital</t>
  </si>
  <si>
    <t>Préstamo</t>
  </si>
  <si>
    <t>Sensibilidad (+/- 20% de kilometraje anual)</t>
  </si>
  <si>
    <t>año</t>
  </si>
  <si>
    <t>https://montevideo.gub.uy/sites/default/files/biblioteca/consumodeenergiaportipodevehiculoycombustible_1.pdf</t>
  </si>
  <si>
    <t>IMM</t>
  </si>
  <si>
    <t>CTP Motocicletas</t>
  </si>
  <si>
    <t>https://www.deceleste.com.uy/producto/733/motos-de-calle/m_yumbo_baccio/m_yumbo_baccio_category/moto/yumbo_classic_125_iii/</t>
  </si>
  <si>
    <t>Vida útil promedio</t>
  </si>
  <si>
    <t>Motocicleta a gasolina</t>
  </si>
  <si>
    <t>Motocicleta eléctrica</t>
  </si>
  <si>
    <t>https://ejournal.umm.ac.id/index.php/industri/article/download/16717/9868</t>
  </si>
  <si>
    <t>https://www.veems.com.uy/productos/productos.php?path=0.2404&amp;secc=productos</t>
  </si>
  <si>
    <t>Cilindrada &lt;= 125 cc</t>
  </si>
  <si>
    <t>Subsidios (USD/moto)</t>
  </si>
  <si>
    <t>Reducción de impuestos (USD/moto)</t>
  </si>
  <si>
    <t>% BEV / ICE</t>
  </si>
  <si>
    <t>Uso intensivo</t>
  </si>
  <si>
    <t>Uso bajo</t>
  </si>
  <si>
    <t>Reducción del 30%</t>
  </si>
  <si>
    <t>Incluída con la motocicleta</t>
  </si>
  <si>
    <t>https://enveurope.springeropen.com/articles/10.1186/s12302-020-00307-8</t>
  </si>
  <si>
    <t>https://listado.mercadolibre.com.uy/cargador-para-moto-electrica-veems#D[A:cargador%20para%20moto%20electrica%20veems]</t>
  </si>
  <si>
    <t>Basado en IMM</t>
  </si>
  <si>
    <t>Patente</t>
  </si>
  <si>
    <t>Carga Motocicleta eléctrica</t>
  </si>
  <si>
    <t>3,1 L/100 km</t>
  </si>
  <si>
    <t>Eléctrica</t>
  </si>
  <si>
    <t>Combustión 
Uso intensivo</t>
  </si>
  <si>
    <t>Combustión
Uso bajo</t>
  </si>
  <si>
    <t>Eléctrico
Uso intensivo</t>
  </si>
  <si>
    <t>Eléctrico
Uso bajo</t>
  </si>
  <si>
    <t>Combustión 
Uso medio</t>
  </si>
  <si>
    <t>Eléctrico
Uso medio</t>
  </si>
  <si>
    <t>CAPEX infraestructura de carga</t>
  </si>
  <si>
    <t>Mantenimiento del vehículo</t>
  </si>
  <si>
    <t>Factor de uso</t>
  </si>
  <si>
    <t>Días operativos</t>
  </si>
  <si>
    <t>Tipo de uso</t>
  </si>
  <si>
    <t>Kilometraje anual</t>
  </si>
  <si>
    <t>Bajo</t>
  </si>
  <si>
    <t>Medio</t>
  </si>
  <si>
    <t>Intensivo</t>
  </si>
  <si>
    <t>CAPEX Motocicleta</t>
  </si>
  <si>
    <t>0.022 kWh/km</t>
  </si>
  <si>
    <t>Vida útil motocicleta</t>
  </si>
  <si>
    <t>Vida útil batería</t>
  </si>
  <si>
    <t>h</t>
  </si>
  <si>
    <t>Aumento costo electricidad</t>
  </si>
  <si>
    <t>Sin embargo, se pueden incorporar agregando una tasa de crecimiento para cada uno</t>
  </si>
  <si>
    <t>Yumbo Classic III (125 c.c.)</t>
  </si>
  <si>
    <t>Veems Super Soco Ts 
(alta potencia)</t>
  </si>
  <si>
    <t>Santander BBVA</t>
  </si>
  <si>
    <t>(UYU/L)</t>
  </si>
  <si>
    <t>(USD/L)</t>
  </si>
  <si>
    <t>Precio nafta</t>
  </si>
  <si>
    <t>Valle</t>
  </si>
  <si>
    <t>(UYU/kWh)</t>
  </si>
  <si>
    <t>(USD/kWh)</t>
  </si>
  <si>
    <t>Precio electricidad</t>
  </si>
  <si>
    <t>Aumento costo nafta</t>
  </si>
  <si>
    <t>Los cálculos se realizan sin considerar proyecciones de costo de los energéticos,</t>
  </si>
  <si>
    <t>Nafta</t>
  </si>
  <si>
    <t>Ancap 2022</t>
  </si>
  <si>
    <t>https://www.ute.com.uy/sites/default/files/docs/Pliego%20Tarifario%20Vigente%20desde%201%20de%20Enero%20de%202022.pdf</t>
  </si>
  <si>
    <t>Tasa de descuento</t>
  </si>
  <si>
    <t>Costos (VP)</t>
  </si>
  <si>
    <t>Total</t>
  </si>
  <si>
    <t>5 - Emisiones</t>
  </si>
  <si>
    <t>Factor de descuento</t>
  </si>
  <si>
    <t>Costos descontados</t>
  </si>
  <si>
    <t>Flujo de caja - Motocicleta</t>
  </si>
  <si>
    <t>MOTOCICLETA A GASOLINA</t>
  </si>
  <si>
    <t>MOTOCICLETA ELÉCTRICA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</si>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</sst>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\ #,##0.00"/>
    <numFmt numFmtId="169" formatCode="&quot;$&quot;#,##0.00"/>
    <numFmt numFmtId="170" formatCode="&quot;$&quot;#,##0.000"/>
    <numFmt numFmtId="171" formatCode="&quot;$&quot;\ #,##0"/>
    <numFmt numFmtId="172" formatCode="_-* #,##0.000_-;\-* #,##0.000_-;_-* &quot;-&quot;_-;_-@_-"/>
    <numFmt numFmtId="173" formatCode="0.0"/>
    <numFmt numFmtId="174" formatCode="_-&quot;$&quot;\ * #,##0.000_-;\-&quot;$&quot;\ * #,##0.000_-;_-&quot;$&quot;\ * &quot;-&quot;??_-;_-@_-"/>
    <numFmt numFmtId="175" formatCode="_-&quot;$&quot;\ * #,##0.0000_-;\-&quot;$&quot;\ * #,##0.0000_-;_-&quot;$&quot;\ * &quot;-&quot;??_-;_-@_-"/>
    <numFmt numFmtId="176" formatCode="&quot;$&quot;#,##0.000000"/>
    <numFmt numFmtId="177" formatCode="_-&quot;$&quot;\ * #,##0.00_-;\-&quot;$&quot;\ * #,##0.00_-;_-&quot;$&quot;\ * &quot;-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b/>
      <sz val="10"/>
      <color rgb="FF00B05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8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4" fillId="8" borderId="0" xfId="0" applyNumberFormat="1" applyFont="1" applyFill="1" applyAlignment="1">
      <alignment horizontal="center" vertical="center"/>
    </xf>
    <xf numFmtId="2" fontId="6" fillId="5" borderId="0" xfId="3" applyNumberFormat="1" applyFill="1" applyAlignment="1">
      <alignment horizontal="left" vertical="center" wrapText="1"/>
    </xf>
    <xf numFmtId="0" fontId="10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4" fillId="0" borderId="0" xfId="0" applyFont="1" applyFill="1"/>
    <xf numFmtId="0" fontId="10" fillId="4" borderId="0" xfId="0" applyFont="1" applyFill="1" applyBorder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0" fontId="4" fillId="1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169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70" fontId="2" fillId="10" borderId="0" xfId="0" applyNumberFormat="1" applyFont="1" applyFill="1" applyBorder="1"/>
    <xf numFmtId="170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7" fontId="4" fillId="10" borderId="3" xfId="0" applyNumberFormat="1" applyFont="1" applyFill="1" applyBorder="1"/>
    <xf numFmtId="167" fontId="4" fillId="11" borderId="3" xfId="0" applyNumberFormat="1" applyFont="1" applyFill="1" applyBorder="1"/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168" fontId="2" fillId="11" borderId="0" xfId="0" applyNumberFormat="1" applyFont="1" applyFill="1" applyBorder="1"/>
    <xf numFmtId="168" fontId="2" fillId="11" borderId="0" xfId="1" applyNumberFormat="1" applyFont="1" applyFill="1" applyBorder="1"/>
    <xf numFmtId="170" fontId="4" fillId="10" borderId="3" xfId="0" applyNumberFormat="1" applyFont="1" applyFill="1" applyBorder="1"/>
    <xf numFmtId="170" fontId="4" fillId="10" borderId="0" xfId="0" applyNumberFormat="1" applyFont="1" applyFill="1" applyBorder="1"/>
    <xf numFmtId="170" fontId="4" fillId="10" borderId="2" xfId="0" applyNumberFormat="1" applyFont="1" applyFill="1" applyBorder="1"/>
    <xf numFmtId="170" fontId="4" fillId="10" borderId="1" xfId="0" applyNumberFormat="1" applyFont="1" applyFill="1" applyBorder="1"/>
    <xf numFmtId="170" fontId="4" fillId="10" borderId="4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7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70" fontId="2" fillId="0" borderId="0" xfId="0" applyNumberFormat="1" applyFont="1" applyFill="1" applyBorder="1"/>
    <xf numFmtId="167" fontId="4" fillId="0" borderId="0" xfId="0" applyNumberFormat="1" applyFont="1"/>
    <xf numFmtId="0" fontId="4" fillId="9" borderId="0" xfId="0" applyFont="1" applyFill="1"/>
    <xf numFmtId="0" fontId="7" fillId="9" borderId="0" xfId="0" applyFont="1" applyFill="1"/>
    <xf numFmtId="10" fontId="4" fillId="11" borderId="6" xfId="0" applyNumberFormat="1" applyFont="1" applyFill="1" applyBorder="1"/>
    <xf numFmtId="10" fontId="4" fillId="11" borderId="8" xfId="0" applyNumberFormat="1" applyFont="1" applyFill="1" applyBorder="1"/>
    <xf numFmtId="10" fontId="4" fillId="11" borderId="10" xfId="0" applyNumberFormat="1" applyFont="1" applyFill="1" applyBorder="1"/>
    <xf numFmtId="0" fontId="14" fillId="0" borderId="0" xfId="0" applyFont="1" applyFill="1" applyBorder="1" applyAlignment="1">
      <alignment horizontal="right"/>
    </xf>
    <xf numFmtId="167" fontId="15" fillId="0" borderId="0" xfId="0" applyNumberFormat="1" applyFont="1"/>
    <xf numFmtId="0" fontId="10" fillId="2" borderId="11" xfId="0" applyFont="1" applyFill="1" applyBorder="1" applyAlignment="1">
      <alignment horizontal="center" vertical="center"/>
    </xf>
    <xf numFmtId="0" fontId="10" fillId="4" borderId="12" xfId="0" applyFont="1" applyFill="1" applyBorder="1"/>
    <xf numFmtId="167" fontId="4" fillId="10" borderId="12" xfId="0" applyNumberFormat="1" applyFont="1" applyFill="1" applyBorder="1"/>
    <xf numFmtId="10" fontId="4" fillId="10" borderId="12" xfId="0" applyNumberFormat="1" applyFont="1" applyFill="1" applyBorder="1"/>
    <xf numFmtId="167" fontId="4" fillId="11" borderId="12" xfId="0" applyNumberFormat="1" applyFont="1" applyFill="1" applyBorder="1"/>
    <xf numFmtId="10" fontId="4" fillId="11" borderId="13" xfId="0" applyNumberFormat="1" applyFont="1" applyFill="1" applyBorder="1"/>
    <xf numFmtId="0" fontId="10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1" fontId="4" fillId="11" borderId="1" xfId="1" applyNumberFormat="1" applyFont="1" applyFill="1" applyBorder="1"/>
    <xf numFmtId="171" fontId="4" fillId="11" borderId="0" xfId="1" applyNumberFormat="1" applyFont="1" applyFill="1" applyBorder="1"/>
    <xf numFmtId="171" fontId="4" fillId="11" borderId="2" xfId="1" applyNumberFormat="1" applyFont="1" applyFill="1" applyBorder="1"/>
    <xf numFmtId="170" fontId="4" fillId="11" borderId="3" xfId="0" applyNumberFormat="1" applyFont="1" applyFill="1" applyBorder="1"/>
    <xf numFmtId="170" fontId="4" fillId="11" borderId="0" xfId="0" applyNumberFormat="1" applyFont="1" applyFill="1" applyBorder="1"/>
    <xf numFmtId="170" fontId="4" fillId="11" borderId="2" xfId="0" applyNumberFormat="1" applyFont="1" applyFill="1" applyBorder="1"/>
    <xf numFmtId="170" fontId="4" fillId="11" borderId="1" xfId="0" applyNumberFormat="1" applyFont="1" applyFill="1" applyBorder="1"/>
    <xf numFmtId="170" fontId="4" fillId="11" borderId="4" xfId="0" applyNumberFormat="1" applyFont="1" applyFill="1" applyBorder="1"/>
    <xf numFmtId="0" fontId="4" fillId="0" borderId="0" xfId="0" applyFont="1" applyAlignment="1">
      <alignment horizontal="right"/>
    </xf>
    <xf numFmtId="170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71" fontId="4" fillId="15" borderId="0" xfId="1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center" vertical="center" wrapText="1"/>
    </xf>
    <xf numFmtId="167" fontId="4" fillId="15" borderId="2" xfId="0" applyNumberFormat="1" applyFont="1" applyFill="1" applyBorder="1"/>
    <xf numFmtId="0" fontId="6" fillId="5" borderId="8" xfId="3" applyFill="1" applyBorder="1" applyAlignment="1">
      <alignment vertical="center" wrapText="1"/>
    </xf>
    <xf numFmtId="166" fontId="4" fillId="8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0" fontId="4" fillId="8" borderId="0" xfId="0" applyNumberFormat="1" applyFont="1" applyFill="1" applyAlignment="1">
      <alignment horizontal="center" vertical="center"/>
    </xf>
    <xf numFmtId="171" fontId="2" fillId="11" borderId="0" xfId="1" applyNumberFormat="1" applyFont="1" applyFill="1" applyBorder="1"/>
    <xf numFmtId="169" fontId="2" fillId="10" borderId="0" xfId="0" applyNumberFormat="1" applyFont="1" applyFill="1"/>
    <xf numFmtId="10" fontId="17" fillId="10" borderId="0" xfId="0" applyNumberFormat="1" applyFont="1" applyFill="1"/>
    <xf numFmtId="10" fontId="17" fillId="11" borderId="0" xfId="0" applyNumberFormat="1" applyFont="1" applyFill="1"/>
    <xf numFmtId="167" fontId="4" fillId="0" borderId="0" xfId="1" applyNumberFormat="1" applyFont="1"/>
    <xf numFmtId="170" fontId="2" fillId="16" borderId="0" xfId="0" applyNumberFormat="1" applyFont="1" applyFill="1" applyBorder="1"/>
    <xf numFmtId="172" fontId="2" fillId="11" borderId="0" xfId="5" applyNumberFormat="1" applyFont="1" applyFill="1" applyBorder="1"/>
    <xf numFmtId="0" fontId="6" fillId="5" borderId="0" xfId="3" applyFill="1" applyAlignment="1">
      <alignment horizontal="left" vertical="center"/>
    </xf>
    <xf numFmtId="0" fontId="4" fillId="10" borderId="0" xfId="0" applyFont="1" applyFill="1" applyAlignment="1">
      <alignment horizontal="center" vertical="center" wrapText="1"/>
    </xf>
    <xf numFmtId="0" fontId="10" fillId="4" borderId="0" xfId="0" applyFont="1" applyFill="1"/>
    <xf numFmtId="1" fontId="4" fillId="8" borderId="0" xfId="2" applyNumberFormat="1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0" fontId="4" fillId="8" borderId="0" xfId="2" applyNumberFormat="1" applyFont="1" applyFill="1" applyAlignment="1">
      <alignment horizontal="center" vertical="center"/>
    </xf>
    <xf numFmtId="0" fontId="6" fillId="5" borderId="0" xfId="3" applyFill="1" applyAlignment="1">
      <alignment horizontal="left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6" fillId="5" borderId="8" xfId="3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4" fontId="4" fillId="7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6" fillId="0" borderId="0" xfId="3" applyAlignment="1">
      <alignment vertical="center"/>
    </xf>
    <xf numFmtId="170" fontId="2" fillId="17" borderId="0" xfId="1" applyNumberFormat="1" applyFont="1" applyFill="1" applyBorder="1"/>
    <xf numFmtId="170" fontId="4" fillId="10" borderId="0" xfId="4" applyNumberFormat="1" applyFont="1" applyFill="1" applyBorder="1"/>
    <xf numFmtId="170" fontId="4" fillId="11" borderId="0" xfId="4" applyNumberFormat="1" applyFont="1" applyFill="1" applyBorder="1"/>
    <xf numFmtId="170" fontId="4" fillId="10" borderId="1" xfId="4" applyNumberFormat="1" applyFont="1" applyFill="1" applyBorder="1"/>
    <xf numFmtId="170" fontId="4" fillId="11" borderId="1" xfId="4" applyNumberFormat="1" applyFont="1" applyFill="1" applyBorder="1"/>
    <xf numFmtId="170" fontId="4" fillId="10" borderId="4" xfId="4" applyNumberFormat="1" applyFont="1" applyFill="1" applyBorder="1"/>
    <xf numFmtId="170" fontId="4" fillId="11" borderId="4" xfId="4" applyNumberFormat="1" applyFont="1" applyFill="1" applyBorder="1"/>
    <xf numFmtId="170" fontId="4" fillId="11" borderId="3" xfId="4" applyNumberFormat="1" applyFont="1" applyFill="1" applyBorder="1"/>
    <xf numFmtId="167" fontId="2" fillId="10" borderId="0" xfId="0" applyNumberFormat="1" applyFont="1" applyFill="1" applyBorder="1"/>
    <xf numFmtId="0" fontId="4" fillId="11" borderId="0" xfId="0" applyFont="1" applyFill="1" applyAlignment="1">
      <alignment horizontal="center" vertical="center" wrapText="1"/>
    </xf>
    <xf numFmtId="176" fontId="4" fillId="0" borderId="0" xfId="0" applyNumberFormat="1" applyFont="1"/>
    <xf numFmtId="0" fontId="1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4" fontId="2" fillId="5" borderId="0" xfId="1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" fontId="2" fillId="5" borderId="0" xfId="1" applyNumberFormat="1" applyFont="1" applyFill="1" applyBorder="1" applyAlignment="1">
      <alignment horizontal="center" vertical="center"/>
    </xf>
    <xf numFmtId="175" fontId="2" fillId="5" borderId="0" xfId="1" applyNumberFormat="1" applyFont="1" applyFill="1" applyAlignment="1">
      <alignment horizontal="center" vertical="center"/>
    </xf>
    <xf numFmtId="44" fontId="2" fillId="5" borderId="0" xfId="1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171" fontId="2" fillId="18" borderId="14" xfId="0" applyNumberFormat="1" applyFont="1" applyFill="1" applyBorder="1" applyAlignment="1">
      <alignment horizontal="center" vertical="center"/>
    </xf>
    <xf numFmtId="170" fontId="2" fillId="18" borderId="14" xfId="0" applyNumberFormat="1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 vertical="center"/>
    </xf>
    <xf numFmtId="171" fontId="2" fillId="19" borderId="14" xfId="0" applyNumberFormat="1" applyFont="1" applyFill="1" applyBorder="1" applyAlignment="1">
      <alignment horizontal="center" vertical="center"/>
    </xf>
    <xf numFmtId="170" fontId="2" fillId="19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/>
    </xf>
    <xf numFmtId="171" fontId="2" fillId="20" borderId="14" xfId="0" applyNumberFormat="1" applyFont="1" applyFill="1" applyBorder="1" applyAlignment="1">
      <alignment horizontal="center" vertical="center"/>
    </xf>
    <xf numFmtId="170" fontId="2" fillId="20" borderId="14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vertical="center"/>
    </xf>
    <xf numFmtId="1" fontId="2" fillId="5" borderId="0" xfId="1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 wrapText="1"/>
    </xf>
    <xf numFmtId="0" fontId="14" fillId="0" borderId="15" xfId="0" applyFont="1" applyBorder="1"/>
    <xf numFmtId="166" fontId="4" fillId="8" borderId="3" xfId="2" applyNumberFormat="1" applyFont="1" applyFill="1" applyBorder="1" applyAlignment="1">
      <alignment horizontal="center" vertical="center"/>
    </xf>
    <xf numFmtId="2" fontId="9" fillId="0" borderId="3" xfId="0" applyNumberFormat="1" applyFont="1" applyBorder="1"/>
    <xf numFmtId="0" fontId="9" fillId="0" borderId="3" xfId="0" applyFont="1" applyBorder="1"/>
    <xf numFmtId="0" fontId="9" fillId="0" borderId="16" xfId="0" applyFont="1" applyBorder="1"/>
    <xf numFmtId="0" fontId="14" fillId="0" borderId="17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9" fillId="0" borderId="0" xfId="0" applyFont="1"/>
    <xf numFmtId="0" fontId="9" fillId="0" borderId="18" xfId="0" applyFont="1" applyBorder="1"/>
    <xf numFmtId="0" fontId="14" fillId="0" borderId="19" xfId="0" applyFont="1" applyBorder="1"/>
    <xf numFmtId="0" fontId="9" fillId="0" borderId="4" xfId="0" applyFont="1" applyBorder="1"/>
    <xf numFmtId="0" fontId="9" fillId="0" borderId="20" xfId="0" applyFont="1" applyBorder="1"/>
    <xf numFmtId="164" fontId="15" fillId="8" borderId="0" xfId="1" applyNumberFormat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173" fontId="4" fillId="15" borderId="0" xfId="0" applyNumberFormat="1" applyFont="1" applyFill="1" applyAlignment="1">
      <alignment horizontal="center" vertical="center"/>
    </xf>
    <xf numFmtId="174" fontId="4" fillId="15" borderId="0" xfId="1" applyNumberFormat="1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165" fontId="4" fillId="15" borderId="0" xfId="0" applyNumberFormat="1" applyFont="1" applyFill="1" applyAlignment="1">
      <alignment horizontal="center" vertical="center"/>
    </xf>
    <xf numFmtId="175" fontId="4" fillId="15" borderId="0" xfId="1" applyNumberFormat="1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0" fontId="9" fillId="0" borderId="15" xfId="0" applyFont="1" applyBorder="1"/>
    <xf numFmtId="0" fontId="9" fillId="0" borderId="3" xfId="0" applyFont="1" applyBorder="1" applyAlignment="1">
      <alignment horizontal="center"/>
    </xf>
    <xf numFmtId="177" fontId="9" fillId="8" borderId="0" xfId="6" applyNumberFormat="1" applyFont="1" applyFill="1" applyBorder="1"/>
    <xf numFmtId="177" fontId="9" fillId="0" borderId="0" xfId="6" applyNumberFormat="1" applyFont="1" applyBorder="1"/>
    <xf numFmtId="177" fontId="4" fillId="8" borderId="4" xfId="6" applyNumberFormat="1" applyFont="1" applyFill="1" applyBorder="1" applyAlignment="1">
      <alignment horizontal="center" vertical="center"/>
    </xf>
    <xf numFmtId="177" fontId="9" fillId="0" borderId="4" xfId="6" applyNumberFormat="1" applyFont="1" applyBorder="1"/>
    <xf numFmtId="0" fontId="14" fillId="0" borderId="0" xfId="0" applyFont="1" applyBorder="1"/>
    <xf numFmtId="0" fontId="9" fillId="0" borderId="0" xfId="0" applyFont="1" applyBorder="1"/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2" fontId="4" fillId="7" borderId="0" xfId="0" applyNumberFormat="1" applyFont="1" applyFill="1" applyAlignment="1">
      <alignment horizontal="center"/>
    </xf>
    <xf numFmtId="2" fontId="5" fillId="21" borderId="0" xfId="0" quotePrefix="1" applyNumberFormat="1" applyFont="1" applyFill="1" applyAlignment="1">
      <alignment horizontal="left" vertical="center" wrapText="1"/>
    </xf>
    <xf numFmtId="0" fontId="6" fillId="5" borderId="0" xfId="3" applyFill="1" applyAlignment="1">
      <alignment wrapText="1"/>
    </xf>
    <xf numFmtId="0" fontId="6" fillId="0" borderId="0" xfId="3"/>
    <xf numFmtId="0" fontId="21" fillId="12" borderId="0" xfId="0" applyFont="1" applyFill="1"/>
    <xf numFmtId="0" fontId="21" fillId="12" borderId="7" xfId="0" applyFont="1" applyFill="1" applyBorder="1"/>
    <xf numFmtId="0" fontId="19" fillId="12" borderId="0" xfId="0" applyFont="1" applyFill="1"/>
    <xf numFmtId="0" fontId="23" fillId="0" borderId="0" xfId="0" applyFont="1"/>
    <xf numFmtId="0" fontId="24" fillId="0" borderId="0" xfId="0" applyFont="1"/>
    <xf numFmtId="166" fontId="0" fillId="10" borderId="14" xfId="2" applyNumberFormat="1" applyFont="1" applyFill="1" applyBorder="1"/>
    <xf numFmtId="0" fontId="20" fillId="0" borderId="0" xfId="0" applyFont="1"/>
    <xf numFmtId="1" fontId="0" fillId="23" borderId="0" xfId="0" applyNumberFormat="1" applyFill="1"/>
    <xf numFmtId="3" fontId="0" fillId="0" borderId="0" xfId="0" applyNumberFormat="1"/>
    <xf numFmtId="1" fontId="19" fillId="3" borderId="0" xfId="0" applyNumberFormat="1" applyFont="1" applyFill="1"/>
    <xf numFmtId="0" fontId="19" fillId="3" borderId="0" xfId="0" applyFont="1" applyFill="1"/>
    <xf numFmtId="166" fontId="27" fillId="0" borderId="0" xfId="2" applyNumberFormat="1" applyFont="1"/>
    <xf numFmtId="42" fontId="0" fillId="24" borderId="5" xfId="6" applyFont="1" applyFill="1" applyBorder="1"/>
    <xf numFmtId="42" fontId="0" fillId="24" borderId="1" xfId="6" applyFont="1" applyFill="1" applyBorder="1"/>
    <xf numFmtId="42" fontId="0" fillId="24" borderId="6" xfId="6" applyFont="1" applyFill="1" applyBorder="1"/>
    <xf numFmtId="42" fontId="0" fillId="24" borderId="21" xfId="6" applyFont="1" applyFill="1" applyBorder="1"/>
    <xf numFmtId="42" fontId="0" fillId="24" borderId="7" xfId="6" applyFont="1" applyFill="1" applyBorder="1"/>
    <xf numFmtId="42" fontId="0" fillId="24" borderId="0" xfId="6" applyFont="1" applyFill="1" applyBorder="1"/>
    <xf numFmtId="42" fontId="0" fillId="24" borderId="8" xfId="6" applyFont="1" applyFill="1" applyBorder="1"/>
    <xf numFmtId="42" fontId="0" fillId="24" borderId="22" xfId="6" applyFont="1" applyFill="1" applyBorder="1"/>
    <xf numFmtId="42" fontId="0" fillId="24" borderId="9" xfId="6" applyFont="1" applyFill="1" applyBorder="1"/>
    <xf numFmtId="42" fontId="0" fillId="24" borderId="2" xfId="6" applyFont="1" applyFill="1" applyBorder="1"/>
    <xf numFmtId="42" fontId="0" fillId="24" borderId="10" xfId="6" applyFont="1" applyFill="1" applyBorder="1"/>
    <xf numFmtId="42" fontId="0" fillId="24" borderId="23" xfId="6" applyFont="1" applyFill="1" applyBorder="1"/>
    <xf numFmtId="6" fontId="0" fillId="24" borderId="9" xfId="6" applyNumberFormat="1" applyFont="1" applyFill="1" applyBorder="1"/>
    <xf numFmtId="6" fontId="0" fillId="24" borderId="2" xfId="6" applyNumberFormat="1" applyFont="1" applyFill="1" applyBorder="1"/>
    <xf numFmtId="42" fontId="21" fillId="3" borderId="0" xfId="6" applyFont="1" applyFill="1" applyBorder="1"/>
    <xf numFmtId="42" fontId="21" fillId="3" borderId="0" xfId="6" applyFont="1" applyFill="1"/>
    <xf numFmtId="0" fontId="27" fillId="0" borderId="0" xfId="2" applyNumberFormat="1" applyFont="1"/>
    <xf numFmtId="1" fontId="28" fillId="0" borderId="0" xfId="0" applyNumberFormat="1" applyFont="1"/>
    <xf numFmtId="2" fontId="0" fillId="10" borderId="0" xfId="0" applyNumberFormat="1" applyFill="1"/>
    <xf numFmtId="166" fontId="29" fillId="0" borderId="0" xfId="2" applyNumberFormat="1" applyFont="1"/>
    <xf numFmtId="42" fontId="0" fillId="11" borderId="5" xfId="6" applyFont="1" applyFill="1" applyBorder="1"/>
    <xf numFmtId="42" fontId="0" fillId="11" borderId="1" xfId="6" applyFont="1" applyFill="1" applyBorder="1"/>
    <xf numFmtId="42" fontId="0" fillId="11" borderId="6" xfId="6" applyFont="1" applyFill="1" applyBorder="1"/>
    <xf numFmtId="42" fontId="0" fillId="11" borderId="21" xfId="6" applyFont="1" applyFill="1" applyBorder="1"/>
    <xf numFmtId="42" fontId="0" fillId="11" borderId="9" xfId="6" applyFont="1" applyFill="1" applyBorder="1"/>
    <xf numFmtId="42" fontId="0" fillId="11" borderId="2" xfId="6" applyFont="1" applyFill="1" applyBorder="1"/>
    <xf numFmtId="42" fontId="0" fillId="11" borderId="10" xfId="6" applyFont="1" applyFill="1" applyBorder="1"/>
    <xf numFmtId="42" fontId="0" fillId="11" borderId="22" xfId="6" applyFont="1" applyFill="1" applyBorder="1"/>
    <xf numFmtId="42" fontId="0" fillId="11" borderId="7" xfId="6" applyFont="1" applyFill="1" applyBorder="1"/>
    <xf numFmtId="42" fontId="0" fillId="11" borderId="0" xfId="6" applyFont="1" applyFill="1" applyBorder="1"/>
    <xf numFmtId="42" fontId="0" fillId="11" borderId="8" xfId="6" applyFont="1" applyFill="1" applyBorder="1"/>
    <xf numFmtId="42" fontId="0" fillId="11" borderId="23" xfId="6" applyFont="1" applyFill="1" applyBorder="1"/>
    <xf numFmtId="42" fontId="21" fillId="25" borderId="0" xfId="6" applyFont="1" applyFill="1" applyBorder="1"/>
    <xf numFmtId="42" fontId="21" fillId="25" borderId="0" xfId="6" applyFont="1" applyFill="1"/>
    <xf numFmtId="0" fontId="7" fillId="14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1" fontId="2" fillId="5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8" fillId="1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1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22" borderId="0" xfId="0" applyFont="1" applyFill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8" borderId="17" xfId="0" applyFont="1" applyFill="1" applyBorder="1"/>
    <xf numFmtId="0" fontId="2" fillId="27" borderId="17" xfId="0" applyFont="1" applyFill="1" applyBorder="1"/>
    <xf numFmtId="0" fontId="2" fillId="28" borderId="17" xfId="0" applyFont="1" applyFill="1" applyBorder="1"/>
    <xf numFmtId="0" fontId="2" fillId="0" borderId="19" xfId="0" applyFont="1" applyBorder="1"/>
    <xf numFmtId="0" fontId="2" fillId="0" borderId="4" xfId="0" applyFont="1" applyBorder="1"/>
    <xf numFmtId="0" fontId="2" fillId="0" borderId="20" xfId="0" applyFont="1" applyBorder="1"/>
  </cellXfs>
  <cellStyles count="7">
    <cellStyle name="Hipervínculo" xfId="3" builtinId="8"/>
    <cellStyle name="Millares" xfId="4" builtinId="3"/>
    <cellStyle name="Millares [0]" xfId="5" builtinId="6"/>
    <cellStyle name="Moneda" xfId="1" builtinId="4"/>
    <cellStyle name="Moneda [0]" xfId="6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4DE86"/>
      <color rgb="FFFF5B5B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CTP!$B$4</c:f>
              <c:strCache>
                <c:ptCount val="1"/>
                <c:pt idx="0">
                  <c:v>CAPEX Motocicleta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(CTP!$C$4,CTP!$E$4)</c:f>
              <c:numCache>
                <c:formatCode>"$"#,##0</c:formatCode>
                <c:ptCount val="2"/>
                <c:pt idx="0">
                  <c:v>1500</c:v>
                </c:pt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CTP!$B$6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(CTP!$C$6,CTP!$E$6)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F-404E-8786-59ABDA577404}"/>
            </c:ext>
          </c:extLst>
        </c:ser>
        <c:ser>
          <c:idx val="5"/>
          <c:order val="3"/>
          <c:tx>
            <c:strRef>
              <c:f>CTP!$B$7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F-404E-8786-59ABDA577404}"/>
              </c:ext>
            </c:extLst>
          </c:dPt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(CTP!$C$7,CTP!$E$7)</c:f>
              <c:numCache>
                <c:formatCode>"$"#,##0</c:formatCode>
                <c:ptCount val="2"/>
                <c:pt idx="0">
                  <c:v>75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4"/>
          <c:tx>
            <c:strRef>
              <c:f>CTP!$B$8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(CTP!$C$8,CTP!$E$8)</c:f>
              <c:numCache>
                <c:formatCode>"$"#,##0</c:formatCode>
                <c:ptCount val="2"/>
                <c:pt idx="0">
                  <c:v>345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CTP!$B$9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(CTP!$C$9,CTP!$E$9)</c:f>
              <c:numCache>
                <c:formatCode>"$"#,##0</c:formatCode>
                <c:ptCount val="2"/>
                <c:pt idx="0">
                  <c:v>330</c:v>
                </c:pt>
                <c:pt idx="1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B-4EA7-AC41-1CB2A56CC6F0}"/>
            </c:ext>
          </c:extLst>
        </c:ser>
        <c:ser>
          <c:idx val="4"/>
          <c:order val="6"/>
          <c:tx>
            <c:strRef>
              <c:f>CTP!$B$10</c:f>
              <c:strCache>
                <c:ptCount val="1"/>
                <c:pt idx="0">
                  <c:v>IMESI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(CTP!$C$10,CTP!$E$10)</c:f>
              <c:numCache>
                <c:formatCode>"$"#,##0</c:formatCode>
                <c:ptCount val="2"/>
                <c:pt idx="0">
                  <c:v>246.75</c:v>
                </c:pt>
                <c:pt idx="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EB-4EA7-AC41-1CB2A56CC6F0}"/>
            </c:ext>
          </c:extLst>
        </c:ser>
        <c:ser>
          <c:idx val="9"/>
          <c:order val="7"/>
          <c:tx>
            <c:strRef>
              <c:f>CTP!$B$11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(CTP!$C$11,CTP!$E$11)</c:f>
              <c:numCache>
                <c:formatCode>"$"#,##0</c:formatCode>
                <c:ptCount val="2"/>
                <c:pt idx="0">
                  <c:v>412.5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B-4EA7-AC41-1CB2A56CC6F0}"/>
            </c:ext>
          </c:extLst>
        </c:ser>
        <c:ser>
          <c:idx val="7"/>
          <c:order val="8"/>
          <c:tx>
            <c:strRef>
              <c:f>CTP!$B$12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331.38640136478307</c:v>
                </c:pt>
                <c:pt idx="1">
                  <c:v>458.32616587018902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9"/>
          <c:tx>
            <c:strRef>
              <c:f>CTP!$B$13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60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10"/>
          <c:tx>
            <c:strRef>
              <c:f>CTP!$B$14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(CTP!$C$14,CTP!$E$14)</c:f>
              <c:numCache>
                <c:formatCode>"$"#,##0</c:formatCode>
                <c:ptCount val="2"/>
                <c:pt idx="0">
                  <c:v>3239.3228840125385</c:v>
                </c:pt>
                <c:pt idx="1">
                  <c:v>103.42666285714286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1"/>
          <c:tx>
            <c:strRef>
              <c:f>CTP!$B$17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(CTP!$C$17,CTP!$E$17)</c:f>
              <c:numCache>
                <c:formatCode>"$"#,##0</c:formatCode>
                <c:ptCount val="2"/>
                <c:pt idx="0">
                  <c:v>616.79999999999995</c:v>
                </c:pt>
                <c:pt idx="1">
                  <c:v>1.4762057142857146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CTP!$B$34</c:f>
              <c:strCache>
                <c:ptCount val="1"/>
                <c:pt idx="0">
                  <c:v>CAPEX Motocicleta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CTP!$C$34:$D$34</c:f>
              <c:numCache>
                <c:formatCode>"$"#,##0.000</c:formatCode>
                <c:ptCount val="2"/>
                <c:pt idx="0">
                  <c:v>2.5000000000000001E-2</c:v>
                </c:pt>
                <c:pt idx="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CTP!$C$35:$D$35</c:f>
              <c:numCache>
                <c:formatCode>"$"#,##0.000</c:formatCode>
                <c:ptCount val="2"/>
                <c:pt idx="0">
                  <c:v>0</c:v>
                </c:pt>
                <c:pt idx="1">
                  <c:v>8.3333333333333339E-4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2"/>
          <c:order val="2"/>
          <c:tx>
            <c:strRef>
              <c:f>CTP!$B$6</c:f>
              <c:strCache>
                <c:ptCount val="1"/>
                <c:pt idx="0">
                  <c:v>Reemplazo de batería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val>
            <c:numRef>
              <c:f>(CTP!$C$36,CTP!$D$36)</c:f>
              <c:numCache>
                <c:formatCode>"$"#,##0.000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A-4431-8426-3B41A0007A92}"/>
            </c:ext>
          </c:extLst>
        </c:ser>
        <c:ser>
          <c:idx val="5"/>
          <c:order val="3"/>
          <c:tx>
            <c:strRef>
              <c:f>CTP!$B$37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1.25E-3</c:v>
                </c:pt>
                <c:pt idx="1">
                  <c:v>2.5000000000000001E-3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4"/>
          <c:tx>
            <c:strRef>
              <c:f>CTP!$B$38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CTP!$C$38:$D$38</c:f>
              <c:numCache>
                <c:formatCode>"$"#,##0.000</c:formatCode>
                <c:ptCount val="2"/>
                <c:pt idx="0">
                  <c:v>5.7499999999999999E-3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CTP!$B$39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CTP!$C$39:$D$39</c:f>
              <c:numCache>
                <c:formatCode>"$"#,##0.000</c:formatCode>
                <c:ptCount val="2"/>
                <c:pt idx="0">
                  <c:v>5.4999999999999997E-3</c:v>
                </c:pt>
                <c:pt idx="1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3-4163-8FB9-3BF0E55B00B3}"/>
            </c:ext>
          </c:extLst>
        </c:ser>
        <c:ser>
          <c:idx val="4"/>
          <c:order val="6"/>
          <c:tx>
            <c:strRef>
              <c:f>CTP!$B$40</c:f>
              <c:strCache>
                <c:ptCount val="1"/>
                <c:pt idx="0">
                  <c:v>IMESI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CTP!$C$40:$D$40</c:f>
              <c:numCache>
                <c:formatCode>"$"#,##0.000</c:formatCode>
                <c:ptCount val="2"/>
                <c:pt idx="0">
                  <c:v>4.1124999999999998E-3</c:v>
                </c:pt>
                <c:pt idx="1">
                  <c:v>5.7499999999999999E-4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43-4163-8FB9-3BF0E55B00B3}"/>
            </c:ext>
          </c:extLst>
        </c:ser>
        <c:ser>
          <c:idx val="9"/>
          <c:order val="7"/>
          <c:tx>
            <c:strRef>
              <c:f>CTP!$B$41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CTP!$C$41:$D$41</c:f>
              <c:numCache>
                <c:formatCode>"$"#,##0.000</c:formatCode>
                <c:ptCount val="2"/>
                <c:pt idx="0">
                  <c:v>6.875E-3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43-4163-8FB9-3BF0E55B00B3}"/>
            </c:ext>
          </c:extLst>
        </c:ser>
        <c:ser>
          <c:idx val="7"/>
          <c:order val="8"/>
          <c:tx>
            <c:strRef>
              <c:f>CTP!$B$42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CTP!$C$42:$D$42</c:f>
              <c:numCache>
                <c:formatCode>"$"#,##0.000</c:formatCode>
                <c:ptCount val="2"/>
                <c:pt idx="0">
                  <c:v>5.5231066894130508E-3</c:v>
                </c:pt>
                <c:pt idx="1">
                  <c:v>7.638769431169817E-3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9"/>
          <c:tx>
            <c:strRef>
              <c:f>CTP!$B$43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CTP!$C$43:$D$43</c:f>
              <c:numCache>
                <c:formatCode>"$"#,##0.000</c:formatCode>
                <c:ptCount val="2"/>
                <c:pt idx="0">
                  <c:v>1E-3</c:v>
                </c:pt>
                <c:pt idx="1">
                  <c:v>6.9999999999999999E-4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10"/>
          <c:tx>
            <c:strRef>
              <c:f>CTP!$B$44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CTP!$C$44:$D$44</c:f>
              <c:numCache>
                <c:formatCode>"$"#,##0.000</c:formatCode>
                <c:ptCount val="2"/>
                <c:pt idx="0">
                  <c:v>5.398871473354231E-2</c:v>
                </c:pt>
                <c:pt idx="1">
                  <c:v>1.7237777142857142E-3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1"/>
          <c:tx>
            <c:strRef>
              <c:f>CTP!$B$45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CTP!$C$32:$D$32</c:f>
              <c:strCache>
                <c:ptCount val="2"/>
                <c:pt idx="0">
                  <c:v>Gasolina</c:v>
                </c:pt>
                <c:pt idx="1">
                  <c:v>Eléctrica</c:v>
                </c:pt>
              </c:strCache>
            </c:strRef>
          </c:cat>
          <c:val>
            <c:numRef>
              <c:f>CTP!$C$45:$D$45</c:f>
              <c:numCache>
                <c:formatCode>"$"#,##0.000</c:formatCode>
                <c:ptCount val="2"/>
                <c:pt idx="0">
                  <c:v>1.0279999999999999E-2</c:v>
                </c:pt>
                <c:pt idx="1">
                  <c:v>2.4603428571428578E-5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5784586815227483"/>
          <c:w val="0.75662429165546652"/>
          <c:h val="0.65339233361846483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CTP!$C$130</c:f>
              <c:strCache>
                <c:ptCount val="1"/>
                <c:pt idx="0">
                  <c:v>Gasolina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CTP!$B$131:$B$133</c:f>
              <c:numCache>
                <c:formatCode>0</c:formatCode>
                <c:ptCount val="3"/>
                <c:pt idx="0">
                  <c:v>5000</c:v>
                </c:pt>
                <c:pt idx="1">
                  <c:v>10000</c:v>
                </c:pt>
                <c:pt idx="2">
                  <c:v>20000</c:v>
                </c:pt>
              </c:numCache>
            </c:numRef>
          </c:xVal>
          <c:yVal>
            <c:numRef>
              <c:f>CTP!$C$131:$C$133</c:f>
              <c:numCache>
                <c:formatCode>"$"#,##0.000</c:formatCode>
                <c:ptCount val="3"/>
                <c:pt idx="0">
                  <c:v>0.1732899281123684</c:v>
                </c:pt>
                <c:pt idx="1">
                  <c:v>0.11927932142295535</c:v>
                </c:pt>
                <c:pt idx="2">
                  <c:v>9.2274018078248823E-2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1"/>
          <c:tx>
            <c:strRef>
              <c:f>CTP!$D$130</c:f>
              <c:strCache>
                <c:ptCount val="1"/>
                <c:pt idx="0">
                  <c:v>Eléctrica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CTP!$B$131:$B$133</c:f>
              <c:numCache>
                <c:formatCode>0</c:formatCode>
                <c:ptCount val="3"/>
                <c:pt idx="0">
                  <c:v>5000</c:v>
                </c:pt>
                <c:pt idx="1">
                  <c:v>10000</c:v>
                </c:pt>
                <c:pt idx="2">
                  <c:v>20000</c:v>
                </c:pt>
              </c:numCache>
            </c:numRef>
          </c:xVal>
          <c:yVal>
            <c:numRef>
              <c:f>CTP!$D$131:$D$133</c:f>
              <c:numCache>
                <c:formatCode>"$"#,##0.000</c:formatCode>
                <c:ptCount val="3"/>
                <c:pt idx="0">
                  <c:v>0.14754258667186348</c:v>
                </c:pt>
                <c:pt idx="1">
                  <c:v>7.49954839073603E-2</c:v>
                </c:pt>
                <c:pt idx="2">
                  <c:v>3.8721932525108721E-2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CTP!$C$134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CTP!$B$131:$B$133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5000</c:v>
                      </c:pt>
                      <c:pt idx="1">
                        <c:v>10000</c:v>
                      </c:pt>
                      <c:pt idx="2">
                        <c:v>20000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CTP!$C$135:$C$137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9B2E-42E8-ADEF-3575C6DA75A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CTP!$B$131:$B$133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5000</c:v>
                      </c:pt>
                      <c:pt idx="1">
                        <c:v>10000</c:v>
                      </c:pt>
                      <c:pt idx="2">
                        <c:v>20000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CTP!$D$135:$D$137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B2E-42E8-ADEF-3575C6DA75A9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20000"/>
          <c:min val="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431164</xdr:colOff>
      <xdr:row>45</xdr:row>
      <xdr:rowOff>74295</xdr:rowOff>
    </xdr:from>
    <xdr:to>
      <xdr:col>5</xdr:col>
      <xdr:colOff>557893</xdr:colOff>
      <xdr:row>65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66</xdr:row>
      <xdr:rowOff>73660</xdr:rowOff>
    </xdr:from>
    <xdr:to>
      <xdr:col>4</xdr:col>
      <xdr:colOff>65405</xdr:colOff>
      <xdr:row>86</xdr:row>
      <xdr:rowOff>83185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10795</xdr:colOff>
      <xdr:row>139</xdr:row>
      <xdr:rowOff>20955</xdr:rowOff>
    </xdr:from>
    <xdr:to>
      <xdr:col>5</xdr:col>
      <xdr:colOff>426085</xdr:colOff>
      <xdr:row>155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0.14353</cdr:x>
      <cdr:y>0.01394</cdr:y>
    </cdr:from>
    <cdr:to>
      <cdr:x>0.35821</cdr:x>
      <cdr:y>0.13153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984746" y="47639"/>
          <a:ext cx="1472898" cy="401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7,157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</a:t>
          </a:r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0.1 USD/km</a:t>
          </a:r>
        </a:p>
      </cdr:txBody>
    </cdr:sp>
  </cdr:relSizeAnchor>
  <cdr:relSizeAnchor xmlns:cdr="http://schemas.openxmlformats.org/drawingml/2006/chartDrawing">
    <cdr:from>
      <cdr:x>0.40558</cdr:x>
      <cdr:y>0.29897</cdr:y>
    </cdr:from>
    <cdr:to>
      <cdr:x>0.62026</cdr:x>
      <cdr:y>0.41854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2782622" y="1021943"/>
          <a:ext cx="1472899" cy="408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4,500</a:t>
          </a:r>
          <a:r>
            <a:rPr lang="es-CO" sz="1100" b="1" baseline="0">
              <a:solidFill>
                <a:srgbClr val="002060"/>
              </a:solidFill>
              <a:latin typeface="Century Gothic" panose="020B0502020202020204" pitchFamily="34" charset="0"/>
            </a:rPr>
            <a:t> USD</a:t>
          </a:r>
        </a:p>
        <a:p xmlns:a="http://schemas.openxmlformats.org/drawingml/2006/main">
          <a:pPr algn="ctr"/>
          <a:r>
            <a:rPr lang="es-CO" sz="1100" b="1" baseline="0">
              <a:solidFill>
                <a:srgbClr val="00B0F0"/>
              </a:solidFill>
              <a:latin typeface="Century Gothic" panose="020B0502020202020204" pitchFamily="34" charset="0"/>
            </a:rPr>
            <a:t>0.1 USD/km</a:t>
          </a:r>
          <a:endParaRPr lang="es-CO" sz="1100" b="1">
            <a:solidFill>
              <a:srgbClr val="00B0F0"/>
            </a:solidFill>
            <a:latin typeface="Century Gothic" panose="020B0502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0.17058</cdr:x>
      <cdr:y>0.08533</cdr:y>
    </cdr:from>
    <cdr:to>
      <cdr:x>0.3923</cdr:x>
      <cdr:y>0.17074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857664" y="293412"/>
          <a:ext cx="1114793" cy="293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0.119 USD/km</a:t>
          </a:r>
        </a:p>
      </cdr:txBody>
    </cdr:sp>
  </cdr:relSizeAnchor>
  <cdr:relSizeAnchor xmlns:cdr="http://schemas.openxmlformats.org/drawingml/2006/chartDrawing">
    <cdr:from>
      <cdr:x>0.39755</cdr:x>
      <cdr:y>0.36789</cdr:y>
    </cdr:from>
    <cdr:to>
      <cdr:x>0.63335</cdr:x>
      <cdr:y>0.4533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1998864" y="1265001"/>
          <a:ext cx="1185586" cy="293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0.075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41</xdr:row>
      <xdr:rowOff>0</xdr:rowOff>
    </xdr:from>
    <xdr:to>
      <xdr:col>10</xdr:col>
      <xdr:colOff>542925</xdr:colOff>
      <xdr:row>42</xdr:row>
      <xdr:rowOff>136575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55A85C-43DB-4C08-8EB2-984C5FD36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27075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3846567B-2AF3-4E6E-AC43-A6F15C3DC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41</xdr:row>
      <xdr:rowOff>0</xdr:rowOff>
    </xdr:from>
    <xdr:ext cx="0" cy="346125"/>
    <xdr:pic>
      <xdr:nvPicPr>
        <xdr:cNvPr id="4" name="Imagen 3">
          <a:extLst>
            <a:ext uri="{FF2B5EF4-FFF2-40B4-BE49-F238E27FC236}">
              <a16:creationId xmlns:a16="http://schemas.microsoft.com/office/drawing/2014/main" id="{6180F9D8-055E-4D22-9A89-B5C14E6D3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41</xdr:row>
      <xdr:rowOff>0</xdr:rowOff>
    </xdr:from>
    <xdr:ext cx="0" cy="346125"/>
    <xdr:pic>
      <xdr:nvPicPr>
        <xdr:cNvPr id="5" name="Imagen 4">
          <a:extLst>
            <a:ext uri="{FF2B5EF4-FFF2-40B4-BE49-F238E27FC236}">
              <a16:creationId xmlns:a16="http://schemas.microsoft.com/office/drawing/2014/main" id="{36034599-EFD3-4B7A-973A-4EA91111D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57149</xdr:rowOff>
    </xdr:from>
    <xdr:to>
      <xdr:col>9</xdr:col>
      <xdr:colOff>30179</xdr:colOff>
      <xdr:row>17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F151AB-0963-4A0C-B7C0-C70573872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247649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</xdr:row>
      <xdr:rowOff>28575</xdr:rowOff>
    </xdr:from>
    <xdr:to>
      <xdr:col>17</xdr:col>
      <xdr:colOff>87092</xdr:colOff>
      <xdr:row>21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B66D33-A250-4A69-BE2F-75A96F7A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219075"/>
          <a:ext cx="5916392" cy="388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eleste.com.uy/producto/733/motos-de-calle/m_yumbo_baccio/m_yumbo_baccio_category/moto/yumbo_classic_125_iii/" TargetMode="External"/><Relationship Id="rId13" Type="http://schemas.openxmlformats.org/officeDocument/2006/relationships/hyperlink" Target="https://www.veems.com.uy/productos/productos.php?path=0.2404&amp;secc=producto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nergy.gov/sites/prod/files/2017/02/f34/67089%20EERE%20LIB%20cost%20vs%20price%20metrics%20r9.pdf" TargetMode="External"/><Relationship Id="rId7" Type="http://schemas.openxmlformats.org/officeDocument/2006/relationships/hyperlink" Target="https://montevideo.gub.uy/sites/default/files/biblioteca/consumodeenergiaportipodevehiculoycombustible_1.pdf" TargetMode="External"/><Relationship Id="rId12" Type="http://schemas.openxmlformats.org/officeDocument/2006/relationships/hyperlink" Target="https://ejournal.umm.ac.id/index.php/industri/article/download/16717/9868" TargetMode="External"/><Relationship Id="rId17" Type="http://schemas.openxmlformats.org/officeDocument/2006/relationships/hyperlink" Target="https://www.ancap.com.uy/2093/1/precios-combustibles.html" TargetMode="External"/><Relationship Id="rId2" Type="http://schemas.openxmlformats.org/officeDocument/2006/relationships/hyperlink" Target="https://www.energy.gov/sites/prod/files/2017/02/f34/67089%20EERE%20LIB%20cost%20vs%20price%20metrics%20r9.pdf" TargetMode="External"/><Relationship Id="rId16" Type="http://schemas.openxmlformats.org/officeDocument/2006/relationships/hyperlink" Target="https://www.ute.com.uy/sites/default/files/docs/Pliego%20Tarifario%20Vigente%20desde%201%20de%20Enero%20de%202022.pdf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montevideo.gub.uy/sites/default/files/biblioteca/consumodeenergiaportipodevehiculoycombustible_1.pdf" TargetMode="External"/><Relationship Id="rId11" Type="http://schemas.openxmlformats.org/officeDocument/2006/relationships/hyperlink" Target="https://ejournal.umm.ac.id/index.php/industri/article/download/16717/9868" TargetMode="External"/><Relationship Id="rId5" Type="http://schemas.openxmlformats.org/officeDocument/2006/relationships/hyperlink" Target="https://www.bcu.gub.uy/Servicios-Financieros-SSF/Paginas/Tasas-Medias.aspx" TargetMode="External"/><Relationship Id="rId15" Type="http://schemas.openxmlformats.org/officeDocument/2006/relationships/hyperlink" Target="https://www.veems.com.uy/productos/productos.php?path=0.2404&amp;secc=productos" TargetMode="External"/><Relationship Id="rId10" Type="http://schemas.openxmlformats.org/officeDocument/2006/relationships/hyperlink" Target="https://ejournal.umm.ac.id/index.php/industri/article/download/16717/9868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ww.bcu.gub.uy/Servicios-Financieros-SSF/Paginas/Tasas-Medias.aspx" TargetMode="External"/><Relationship Id="rId9" Type="http://schemas.openxmlformats.org/officeDocument/2006/relationships/hyperlink" Target="https://ejournal.umm.ac.id/index.php/industri/article/download/16717/9868" TargetMode="External"/><Relationship Id="rId14" Type="http://schemas.openxmlformats.org/officeDocument/2006/relationships/hyperlink" Target="https://listado.mercadolibre.com.uy/cargador-para-moto-electrica-veem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6468A-C059-4743-9C78-7F477F3A2388}">
  <dimension ref="A1:O14"/>
  <sheetViews>
    <sheetView workbookViewId="0">
      <selection sqref="A1:XFD1048576"/>
    </sheetView>
  </sheetViews>
  <sheetFormatPr baseColWidth="10" defaultRowHeight="16.5" x14ac:dyDescent="0.3"/>
  <cols>
    <col min="1" max="15" width="11.85546875" style="259" customWidth="1"/>
    <col min="16" max="16384" width="11.42578125" style="259"/>
  </cols>
  <sheetData>
    <row r="1" spans="1:15" ht="17.25" thickBot="1" x14ac:dyDescent="0.35">
      <c r="A1" s="256" t="s">
        <v>186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8"/>
    </row>
    <row r="2" spans="1:15" x14ac:dyDescent="0.3">
      <c r="A2" s="260"/>
      <c r="O2" s="261"/>
    </row>
    <row r="3" spans="1:15" x14ac:dyDescent="0.3">
      <c r="A3" s="260" t="s">
        <v>187</v>
      </c>
      <c r="O3" s="261"/>
    </row>
    <row r="4" spans="1:15" x14ac:dyDescent="0.3">
      <c r="A4" s="260"/>
      <c r="O4" s="261"/>
    </row>
    <row r="5" spans="1:15" x14ac:dyDescent="0.3">
      <c r="A5" s="262"/>
      <c r="B5" s="259" t="s">
        <v>188</v>
      </c>
      <c r="O5" s="261"/>
    </row>
    <row r="6" spans="1:15" x14ac:dyDescent="0.3">
      <c r="A6" s="260"/>
      <c r="O6" s="261"/>
    </row>
    <row r="7" spans="1:15" x14ac:dyDescent="0.3">
      <c r="A7" s="263"/>
      <c r="B7" s="259" t="s">
        <v>189</v>
      </c>
      <c r="O7" s="261"/>
    </row>
    <row r="8" spans="1:15" x14ac:dyDescent="0.3">
      <c r="A8" s="260"/>
      <c r="O8" s="261"/>
    </row>
    <row r="9" spans="1:15" x14ac:dyDescent="0.3">
      <c r="A9" s="264"/>
      <c r="B9" s="259" t="s">
        <v>190</v>
      </c>
      <c r="O9" s="261"/>
    </row>
    <row r="10" spans="1:15" x14ac:dyDescent="0.3">
      <c r="A10" s="260"/>
      <c r="O10" s="261"/>
    </row>
    <row r="11" spans="1:15" x14ac:dyDescent="0.3">
      <c r="A11" s="260"/>
      <c r="O11" s="261"/>
    </row>
    <row r="12" spans="1:15" x14ac:dyDescent="0.3">
      <c r="A12" s="260" t="s">
        <v>191</v>
      </c>
      <c r="O12" s="261"/>
    </row>
    <row r="13" spans="1:15" x14ac:dyDescent="0.3">
      <c r="A13" s="260"/>
      <c r="O13" s="261"/>
    </row>
    <row r="14" spans="1:15" ht="17.25" thickBot="1" x14ac:dyDescent="0.35">
      <c r="A14" s="265" t="s">
        <v>192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7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32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33.85546875" style="113" customWidth="1"/>
    <col min="2" max="3" width="18.140625" style="113" customWidth="1"/>
    <col min="4" max="4" width="25.85546875" style="113" customWidth="1"/>
    <col min="5" max="5" width="18.140625" style="113" customWidth="1"/>
    <col min="6" max="6" width="22.42578125" style="113" customWidth="1"/>
    <col min="7" max="9" width="15.42578125" style="113" customWidth="1"/>
    <col min="10" max="10" width="12.85546875" style="113" bestFit="1" customWidth="1"/>
    <col min="11" max="11" width="10.85546875" style="113" customWidth="1"/>
    <col min="12" max="12" width="13.85546875" style="113" customWidth="1"/>
    <col min="13" max="13" width="13.28515625" style="113" customWidth="1"/>
    <col min="14" max="16384" width="10.85546875" style="113"/>
  </cols>
  <sheetData>
    <row r="1" spans="1:10" s="111" customFormat="1" x14ac:dyDescent="0.25">
      <c r="A1" s="239" t="s">
        <v>118</v>
      </c>
      <c r="B1" s="239"/>
      <c r="C1" s="239"/>
      <c r="D1" s="239"/>
      <c r="E1" s="239"/>
      <c r="F1" s="239"/>
    </row>
    <row r="2" spans="1:10" s="111" customFormat="1" x14ac:dyDescent="0.25">
      <c r="C2" s="3"/>
      <c r="D2" s="3"/>
      <c r="E2" s="3"/>
    </row>
    <row r="3" spans="1:10" s="111" customFormat="1" x14ac:dyDescent="0.25">
      <c r="C3" s="3"/>
      <c r="D3" s="3"/>
      <c r="E3" s="3"/>
      <c r="J3" s="113"/>
    </row>
    <row r="4" spans="1:10" s="111" customFormat="1" ht="15" x14ac:dyDescent="0.25">
      <c r="A4" s="238" t="s">
        <v>87</v>
      </c>
      <c r="B4" s="238"/>
      <c r="C4" s="238"/>
      <c r="D4" s="238"/>
      <c r="E4" s="238"/>
      <c r="F4" s="238"/>
      <c r="G4" s="91"/>
      <c r="J4" s="113"/>
    </row>
    <row r="5" spans="1:10" s="111" customFormat="1" ht="14.25" x14ac:dyDescent="0.25">
      <c r="A5" s="112" t="s">
        <v>121</v>
      </c>
      <c r="C5" s="3"/>
      <c r="D5" s="3"/>
      <c r="E5" s="3"/>
      <c r="F5" s="133" t="s">
        <v>44</v>
      </c>
      <c r="G5" s="133" t="s">
        <v>45</v>
      </c>
      <c r="H5" s="133" t="s">
        <v>74</v>
      </c>
      <c r="I5" s="133" t="s">
        <v>139</v>
      </c>
      <c r="J5" s="113"/>
    </row>
    <row r="6" spans="1:10" s="111" customFormat="1" ht="16.5" x14ac:dyDescent="0.25">
      <c r="A6" s="4" t="s">
        <v>44</v>
      </c>
      <c r="B6" s="4" t="s">
        <v>45</v>
      </c>
      <c r="C6" s="4" t="s">
        <v>46</v>
      </c>
      <c r="D6" s="4" t="s">
        <v>47</v>
      </c>
      <c r="E6" s="113"/>
      <c r="F6" s="134" t="s">
        <v>48</v>
      </c>
      <c r="G6" s="134" t="s">
        <v>1</v>
      </c>
      <c r="H6" s="135">
        <f>C7</f>
        <v>1500</v>
      </c>
      <c r="I6" s="135">
        <f>C17</f>
        <v>3000</v>
      </c>
      <c r="J6" s="113"/>
    </row>
    <row r="7" spans="1:10" s="111" customFormat="1" ht="32.450000000000003" customHeight="1" x14ac:dyDescent="0.25">
      <c r="A7" s="5" t="s">
        <v>0</v>
      </c>
      <c r="B7" s="5" t="s">
        <v>1</v>
      </c>
      <c r="C7" s="167">
        <v>1500</v>
      </c>
      <c r="D7" s="110" t="s">
        <v>162</v>
      </c>
      <c r="E7" s="111" t="s">
        <v>119</v>
      </c>
      <c r="F7" s="134" t="s">
        <v>146</v>
      </c>
      <c r="G7" s="134" t="s">
        <v>1</v>
      </c>
      <c r="H7" s="136" t="s">
        <v>36</v>
      </c>
      <c r="I7" s="137">
        <f>C26</f>
        <v>50</v>
      </c>
      <c r="J7" s="113"/>
    </row>
    <row r="8" spans="1:10" s="111" customFormat="1" ht="32.450000000000003" customHeight="1" x14ac:dyDescent="0.25">
      <c r="A8" s="5" t="s">
        <v>38</v>
      </c>
      <c r="B8" s="5" t="s">
        <v>41</v>
      </c>
      <c r="C8" s="10">
        <v>6</v>
      </c>
      <c r="D8" s="110" t="s">
        <v>120</v>
      </c>
      <c r="E8" s="121" t="s">
        <v>123</v>
      </c>
      <c r="F8" s="134" t="s">
        <v>157</v>
      </c>
      <c r="G8" s="134" t="s">
        <v>41</v>
      </c>
      <c r="H8" s="138">
        <f>C8</f>
        <v>6</v>
      </c>
      <c r="I8" s="138">
        <f>C19</f>
        <v>6</v>
      </c>
      <c r="J8" s="113"/>
    </row>
    <row r="9" spans="1:10" s="111" customFormat="1" ht="32.450000000000003" customHeight="1" x14ac:dyDescent="0.25">
      <c r="A9" s="5" t="s">
        <v>39</v>
      </c>
      <c r="B9" s="5" t="s">
        <v>2</v>
      </c>
      <c r="C9" s="169">
        <f>100/31.9</f>
        <v>3.134796238244514</v>
      </c>
      <c r="D9" s="110" t="s">
        <v>117</v>
      </c>
      <c r="E9" s="121" t="s">
        <v>116</v>
      </c>
      <c r="F9" s="134" t="s">
        <v>158</v>
      </c>
      <c r="G9" s="134" t="s">
        <v>41</v>
      </c>
      <c r="H9" s="152" t="s">
        <v>36</v>
      </c>
      <c r="I9" s="152">
        <f>C20</f>
        <v>6</v>
      </c>
      <c r="J9" s="113"/>
    </row>
    <row r="10" spans="1:10" s="111" customFormat="1" ht="32.450000000000003" customHeight="1" x14ac:dyDescent="0.25">
      <c r="A10" s="5" t="s">
        <v>40</v>
      </c>
      <c r="B10" s="5" t="s">
        <v>3</v>
      </c>
      <c r="C10" s="170">
        <v>1E-3</v>
      </c>
      <c r="D10" s="108" t="s">
        <v>123</v>
      </c>
      <c r="F10" s="134" t="s">
        <v>147</v>
      </c>
      <c r="G10" s="134" t="s">
        <v>3</v>
      </c>
      <c r="H10" s="139">
        <f>C10</f>
        <v>1E-3</v>
      </c>
      <c r="I10" s="139">
        <f>C22</f>
        <v>6.9999999999999999E-4</v>
      </c>
      <c r="J10" s="113"/>
    </row>
    <row r="11" spans="1:10" ht="32.450000000000003" customHeight="1" x14ac:dyDescent="0.25">
      <c r="E11" s="111"/>
      <c r="F11" s="134" t="s">
        <v>39</v>
      </c>
      <c r="G11" s="134" t="s">
        <v>36</v>
      </c>
      <c r="H11" s="140" t="s">
        <v>138</v>
      </c>
      <c r="I11" s="140" t="s">
        <v>156</v>
      </c>
    </row>
    <row r="12" spans="1:10" ht="32.450000000000003" customHeight="1" x14ac:dyDescent="0.25">
      <c r="E12" s="111"/>
      <c r="F12" s="134" t="s">
        <v>148</v>
      </c>
      <c r="G12" s="134" t="s">
        <v>63</v>
      </c>
      <c r="H12" s="241">
        <f>C40</f>
        <v>10000</v>
      </c>
      <c r="I12" s="241"/>
    </row>
    <row r="13" spans="1:10" ht="32.450000000000003" customHeight="1" x14ac:dyDescent="0.25">
      <c r="E13" s="111"/>
      <c r="F13" s="134" t="s">
        <v>149</v>
      </c>
      <c r="G13" s="134" t="s">
        <v>64</v>
      </c>
      <c r="H13" s="241">
        <f>C43</f>
        <v>300</v>
      </c>
      <c r="I13" s="241"/>
    </row>
    <row r="14" spans="1:10" s="111" customFormat="1" x14ac:dyDescent="0.25">
      <c r="A14" s="112" t="s">
        <v>122</v>
      </c>
      <c r="C14" s="3"/>
      <c r="D14" s="3"/>
      <c r="F14" s="113"/>
      <c r="G14" s="113"/>
      <c r="H14" s="113"/>
      <c r="I14" s="113"/>
      <c r="J14" s="113"/>
    </row>
    <row r="15" spans="1:10" s="111" customFormat="1" x14ac:dyDescent="0.25">
      <c r="A15" s="4" t="s">
        <v>44</v>
      </c>
      <c r="B15" s="4" t="s">
        <v>45</v>
      </c>
      <c r="C15" s="4" t="s">
        <v>46</v>
      </c>
      <c r="D15" s="4" t="s">
        <v>47</v>
      </c>
      <c r="F15" s="113"/>
      <c r="G15" s="113"/>
      <c r="J15" s="113"/>
    </row>
    <row r="16" spans="1:10" s="111" customFormat="1" x14ac:dyDescent="0.25">
      <c r="A16" s="4"/>
      <c r="B16" s="4"/>
      <c r="C16" s="4"/>
      <c r="D16" s="4"/>
      <c r="F16" s="113"/>
      <c r="G16" s="113"/>
      <c r="J16" s="113"/>
    </row>
    <row r="17" spans="1:8" s="111" customFormat="1" ht="27" x14ac:dyDescent="0.25">
      <c r="A17" s="5" t="s">
        <v>0</v>
      </c>
      <c r="B17" s="5" t="s">
        <v>1</v>
      </c>
      <c r="C17" s="171">
        <v>3000</v>
      </c>
      <c r="D17" s="110" t="s">
        <v>163</v>
      </c>
      <c r="E17" s="121" t="s">
        <v>124</v>
      </c>
      <c r="F17" s="113"/>
      <c r="G17" s="113"/>
    </row>
    <row r="18" spans="1:8" s="111" customFormat="1" ht="15" x14ac:dyDescent="0.25">
      <c r="A18" s="5" t="s">
        <v>42</v>
      </c>
      <c r="B18" s="5" t="s">
        <v>25</v>
      </c>
      <c r="C18" s="172">
        <v>1</v>
      </c>
      <c r="D18" s="102" t="s">
        <v>133</v>
      </c>
      <c r="F18" s="113"/>
      <c r="G18" s="113"/>
      <c r="H18" s="113"/>
    </row>
    <row r="19" spans="1:8" s="111" customFormat="1" ht="40.5" x14ac:dyDescent="0.25">
      <c r="A19" s="5" t="s">
        <v>157</v>
      </c>
      <c r="B19" s="5" t="s">
        <v>41</v>
      </c>
      <c r="C19" s="168">
        <v>6</v>
      </c>
      <c r="D19" s="110" t="s">
        <v>51</v>
      </c>
      <c r="F19" s="113"/>
      <c r="G19" s="113"/>
      <c r="H19" s="113"/>
    </row>
    <row r="20" spans="1:8" s="111" customFormat="1" ht="45" x14ac:dyDescent="0.25">
      <c r="A20" s="5" t="s">
        <v>43</v>
      </c>
      <c r="B20" s="5" t="s">
        <v>41</v>
      </c>
      <c r="C20" s="168">
        <v>6</v>
      </c>
      <c r="D20" s="108" t="s">
        <v>123</v>
      </c>
      <c r="F20" s="113"/>
      <c r="G20" s="113"/>
      <c r="H20" s="113"/>
    </row>
    <row r="21" spans="1:8" s="111" customFormat="1" ht="37.5" customHeight="1" x14ac:dyDescent="0.25">
      <c r="A21" s="5" t="s">
        <v>39</v>
      </c>
      <c r="B21" s="5" t="s">
        <v>4</v>
      </c>
      <c r="C21" s="173">
        <f>60*26/1000/70</f>
        <v>2.2285714285714287E-2</v>
      </c>
      <c r="D21" s="108" t="s">
        <v>124</v>
      </c>
      <c r="F21" s="113"/>
      <c r="G21" s="113"/>
      <c r="H21" s="113"/>
    </row>
    <row r="22" spans="1:8" ht="45" x14ac:dyDescent="0.25">
      <c r="A22" s="5" t="s">
        <v>40</v>
      </c>
      <c r="B22" s="5" t="s">
        <v>3</v>
      </c>
      <c r="C22" s="174">
        <f>C10*0.7</f>
        <v>6.9999999999999999E-4</v>
      </c>
      <c r="D22" s="108" t="s">
        <v>123</v>
      </c>
      <c r="E22" s="111" t="s">
        <v>131</v>
      </c>
    </row>
    <row r="23" spans="1:8" s="114" customFormat="1" x14ac:dyDescent="0.25">
      <c r="A23" s="6"/>
      <c r="B23" s="6"/>
      <c r="C23" s="86"/>
      <c r="D23" s="87"/>
      <c r="E23" s="111"/>
    </row>
    <row r="24" spans="1:8" s="111" customFormat="1" x14ac:dyDescent="0.25">
      <c r="A24" s="112" t="s">
        <v>137</v>
      </c>
      <c r="C24" s="3"/>
      <c r="D24" s="3"/>
    </row>
    <row r="25" spans="1:8" s="111" customFormat="1" x14ac:dyDescent="0.25">
      <c r="A25" s="4" t="s">
        <v>44</v>
      </c>
      <c r="B25" s="4" t="s">
        <v>45</v>
      </c>
      <c r="C25" s="4" t="s">
        <v>46</v>
      </c>
      <c r="D25" s="4" t="s">
        <v>47</v>
      </c>
      <c r="F25" s="113"/>
      <c r="G25" s="113"/>
    </row>
    <row r="26" spans="1:8" ht="15" x14ac:dyDescent="0.25">
      <c r="A26" s="5" t="s">
        <v>88</v>
      </c>
      <c r="B26" s="5" t="s">
        <v>1</v>
      </c>
      <c r="C26" s="175">
        <v>50</v>
      </c>
      <c r="D26" s="102" t="s">
        <v>134</v>
      </c>
      <c r="E26" s="111"/>
    </row>
    <row r="27" spans="1:8" ht="27" x14ac:dyDescent="0.25">
      <c r="A27" s="5" t="s">
        <v>89</v>
      </c>
      <c r="B27" s="5" t="s">
        <v>6</v>
      </c>
      <c r="C27" s="175"/>
      <c r="D27" s="110" t="s">
        <v>132</v>
      </c>
      <c r="E27" s="111"/>
    </row>
    <row r="28" spans="1:8" s="111" customFormat="1" ht="50.25" customHeight="1" x14ac:dyDescent="0.25">
      <c r="A28" s="5" t="s">
        <v>90</v>
      </c>
      <c r="B28" s="5" t="s">
        <v>10</v>
      </c>
      <c r="C28" s="176">
        <v>1</v>
      </c>
      <c r="D28" s="153"/>
      <c r="F28" s="113"/>
      <c r="G28" s="113"/>
    </row>
    <row r="29" spans="1:8" s="111" customFormat="1" ht="27" x14ac:dyDescent="0.25">
      <c r="A29" s="5" t="s">
        <v>91</v>
      </c>
      <c r="B29" s="5" t="s">
        <v>10</v>
      </c>
      <c r="C29" s="176">
        <f>1-C28</f>
        <v>0</v>
      </c>
      <c r="D29" s="153"/>
      <c r="F29" s="113"/>
      <c r="G29" s="113"/>
    </row>
    <row r="30" spans="1:8" s="111" customFormat="1" x14ac:dyDescent="0.25">
      <c r="A30" s="5" t="s">
        <v>50</v>
      </c>
      <c r="B30" s="5" t="s">
        <v>115</v>
      </c>
      <c r="C30" s="172">
        <v>10</v>
      </c>
      <c r="D30" s="110" t="s">
        <v>92</v>
      </c>
      <c r="F30" s="113"/>
      <c r="G30" s="113"/>
    </row>
    <row r="31" spans="1:8" x14ac:dyDescent="0.25">
      <c r="E31" s="111"/>
    </row>
    <row r="32" spans="1:8" s="111" customFormat="1" x14ac:dyDescent="0.25">
      <c r="A32" s="112" t="s">
        <v>78</v>
      </c>
      <c r="C32" s="3"/>
      <c r="D32" s="3"/>
    </row>
    <row r="33" spans="1:9" s="111" customFormat="1" x14ac:dyDescent="0.25">
      <c r="A33" s="4" t="s">
        <v>44</v>
      </c>
      <c r="B33" s="4" t="s">
        <v>45</v>
      </c>
      <c r="C33" s="4" t="s">
        <v>46</v>
      </c>
      <c r="D33" s="4" t="s">
        <v>47</v>
      </c>
      <c r="F33" s="113"/>
      <c r="G33" s="113"/>
    </row>
    <row r="34" spans="1:9" s="111" customFormat="1" ht="27" x14ac:dyDescent="0.25">
      <c r="A34" s="5" t="s">
        <v>52</v>
      </c>
      <c r="B34" s="5" t="s">
        <v>10</v>
      </c>
      <c r="C34" s="176">
        <v>0.5</v>
      </c>
      <c r="D34" s="110" t="s">
        <v>53</v>
      </c>
      <c r="E34" s="111" t="s">
        <v>27</v>
      </c>
      <c r="F34" s="113"/>
      <c r="G34" s="115"/>
    </row>
    <row r="35" spans="1:9" s="111" customFormat="1" ht="27" x14ac:dyDescent="0.25">
      <c r="A35" s="5" t="s">
        <v>54</v>
      </c>
      <c r="B35" s="5" t="s">
        <v>10</v>
      </c>
      <c r="C35" s="176">
        <v>0.7</v>
      </c>
      <c r="D35" s="110" t="s">
        <v>53</v>
      </c>
      <c r="E35" s="111" t="s">
        <v>27</v>
      </c>
      <c r="F35" s="113"/>
      <c r="G35" s="115"/>
    </row>
    <row r="36" spans="1:9" x14ac:dyDescent="0.25">
      <c r="C36" s="116">
        <v>-0.1</v>
      </c>
    </row>
    <row r="37" spans="1:9" x14ac:dyDescent="0.25">
      <c r="A37" s="238" t="s">
        <v>55</v>
      </c>
      <c r="B37" s="238"/>
      <c r="C37" s="238"/>
      <c r="D37" s="238"/>
      <c r="E37" s="240" t="s">
        <v>56</v>
      </c>
      <c r="F37" s="240"/>
      <c r="G37" s="240"/>
      <c r="H37" s="240"/>
      <c r="I37" s="240"/>
    </row>
    <row r="38" spans="1:9" x14ac:dyDescent="0.25">
      <c r="H38" s="116" t="s">
        <v>129</v>
      </c>
      <c r="I38" s="116" t="s">
        <v>130</v>
      </c>
    </row>
    <row r="39" spans="1:9" x14ac:dyDescent="0.25">
      <c r="A39" s="4" t="s">
        <v>44</v>
      </c>
      <c r="B39" s="4" t="s">
        <v>45</v>
      </c>
      <c r="C39" s="4" t="s">
        <v>46</v>
      </c>
      <c r="D39" s="4" t="s">
        <v>47</v>
      </c>
      <c r="E39" s="111"/>
      <c r="F39" s="4" t="s">
        <v>44</v>
      </c>
      <c r="G39" s="4" t="s">
        <v>45</v>
      </c>
      <c r="H39" s="4" t="s">
        <v>46</v>
      </c>
    </row>
    <row r="40" spans="1:9" x14ac:dyDescent="0.25">
      <c r="A40" s="5" t="s">
        <v>57</v>
      </c>
      <c r="B40" s="5" t="s">
        <v>63</v>
      </c>
      <c r="C40" s="10">
        <v>10000</v>
      </c>
      <c r="D40" s="109" t="s">
        <v>135</v>
      </c>
      <c r="E40" s="111" t="s">
        <v>116</v>
      </c>
      <c r="F40" s="5" t="s">
        <v>57</v>
      </c>
      <c r="G40" s="5" t="s">
        <v>63</v>
      </c>
      <c r="H40" s="10">
        <v>20000</v>
      </c>
      <c r="I40" s="10">
        <v>5000</v>
      </c>
    </row>
    <row r="41" spans="1:9" x14ac:dyDescent="0.25">
      <c r="A41" s="5" t="s">
        <v>58</v>
      </c>
      <c r="B41" s="5" t="s">
        <v>8</v>
      </c>
      <c r="C41" s="7">
        <f>C40*C8</f>
        <v>60000</v>
      </c>
      <c r="D41" s="1" t="s">
        <v>66</v>
      </c>
      <c r="E41" s="111"/>
      <c r="F41" s="5" t="s">
        <v>58</v>
      </c>
      <c r="G41" s="5" t="s">
        <v>8</v>
      </c>
      <c r="H41" s="7">
        <f>H40*C8</f>
        <v>120000</v>
      </c>
      <c r="I41" s="7">
        <f>I40*C8</f>
        <v>30000</v>
      </c>
    </row>
    <row r="42" spans="1:9" x14ac:dyDescent="0.25">
      <c r="A42" s="5" t="s">
        <v>59</v>
      </c>
      <c r="B42" s="5" t="s">
        <v>8</v>
      </c>
      <c r="C42" s="7">
        <f>C40*$C$19</f>
        <v>60000</v>
      </c>
      <c r="D42" s="1" t="s">
        <v>66</v>
      </c>
      <c r="E42" s="111"/>
      <c r="F42" s="5" t="s">
        <v>59</v>
      </c>
      <c r="G42" s="5" t="s">
        <v>8</v>
      </c>
      <c r="H42" s="7">
        <f>H40*C19</f>
        <v>120000</v>
      </c>
      <c r="I42" s="7">
        <f>I40*C19</f>
        <v>30000</v>
      </c>
    </row>
    <row r="43" spans="1:9" ht="27" x14ac:dyDescent="0.25">
      <c r="A43" s="5" t="s">
        <v>60</v>
      </c>
      <c r="B43" s="5" t="s">
        <v>64</v>
      </c>
      <c r="C43" s="10">
        <v>300</v>
      </c>
      <c r="D43" s="1" t="s">
        <v>65</v>
      </c>
      <c r="E43" s="111"/>
      <c r="F43" s="5" t="s">
        <v>60</v>
      </c>
      <c r="G43" s="5" t="s">
        <v>9</v>
      </c>
      <c r="H43" s="10">
        <v>300</v>
      </c>
      <c r="I43" s="10">
        <v>300</v>
      </c>
    </row>
    <row r="44" spans="1:9" x14ac:dyDescent="0.25">
      <c r="A44" s="5" t="s">
        <v>61</v>
      </c>
      <c r="B44" s="5" t="s">
        <v>8</v>
      </c>
      <c r="C44" s="7">
        <f>C40/C43</f>
        <v>33.333333333333336</v>
      </c>
      <c r="D44" s="1" t="s">
        <v>66</v>
      </c>
      <c r="E44" s="111"/>
      <c r="F44" s="5" t="s">
        <v>61</v>
      </c>
      <c r="G44" s="5" t="s">
        <v>8</v>
      </c>
      <c r="H44" s="7">
        <f>H40/H43</f>
        <v>66.666666666666671</v>
      </c>
      <c r="I44" s="7">
        <f>I40/I43</f>
        <v>16.666666666666668</v>
      </c>
    </row>
    <row r="45" spans="1:9" ht="12" customHeight="1" x14ac:dyDescent="0.25">
      <c r="A45" s="5" t="s">
        <v>62</v>
      </c>
      <c r="B45" s="5" t="s">
        <v>7</v>
      </c>
      <c r="C45" s="7">
        <f>C44*$C$21</f>
        <v>0.74285714285714299</v>
      </c>
      <c r="D45" s="1" t="s">
        <v>66</v>
      </c>
      <c r="F45" s="5" t="s">
        <v>62</v>
      </c>
      <c r="G45" s="5" t="s">
        <v>7</v>
      </c>
      <c r="H45" s="7">
        <f>H44*$C$21</f>
        <v>1.485714285714286</v>
      </c>
      <c r="I45" s="7">
        <f>I44*$C$21</f>
        <v>0.3714285714285715</v>
      </c>
    </row>
    <row r="46" spans="1:9" s="114" customFormat="1" ht="12" customHeight="1" x14ac:dyDescent="0.25">
      <c r="A46" s="6"/>
      <c r="B46" s="6"/>
      <c r="C46" s="9"/>
      <c r="D46" s="8"/>
    </row>
    <row r="48" spans="1:9" x14ac:dyDescent="0.25">
      <c r="A48" s="238" t="s">
        <v>72</v>
      </c>
      <c r="B48" s="238"/>
      <c r="C48" s="238"/>
      <c r="D48" s="238"/>
      <c r="E48" s="238"/>
      <c r="F48" s="238"/>
    </row>
    <row r="49" spans="1:8" x14ac:dyDescent="0.25">
      <c r="A49" s="112"/>
    </row>
    <row r="50" spans="1:8" x14ac:dyDescent="0.25">
      <c r="A50" s="4" t="s">
        <v>44</v>
      </c>
      <c r="B50" s="4" t="s">
        <v>45</v>
      </c>
      <c r="C50" s="4" t="s">
        <v>46</v>
      </c>
      <c r="D50" s="4" t="s">
        <v>47</v>
      </c>
    </row>
    <row r="51" spans="1:8" ht="27" x14ac:dyDescent="0.25">
      <c r="A51" s="5" t="s">
        <v>67</v>
      </c>
      <c r="B51" s="5" t="s">
        <v>10</v>
      </c>
      <c r="C51" s="11">
        <v>0.7</v>
      </c>
      <c r="D51" s="110" t="s">
        <v>29</v>
      </c>
    </row>
    <row r="52" spans="1:8" x14ac:dyDescent="0.25">
      <c r="A52" s="5" t="s">
        <v>68</v>
      </c>
      <c r="B52" s="5" t="s">
        <v>41</v>
      </c>
      <c r="C52" s="105">
        <v>3</v>
      </c>
      <c r="D52" s="110" t="s">
        <v>164</v>
      </c>
    </row>
    <row r="53" spans="1:8" ht="15" x14ac:dyDescent="0.25">
      <c r="A53" s="5" t="s">
        <v>69</v>
      </c>
      <c r="B53" s="5" t="s">
        <v>93</v>
      </c>
      <c r="C53" s="92">
        <v>6.5000000000000002E-2</v>
      </c>
      <c r="D53" s="117" t="s">
        <v>33</v>
      </c>
    </row>
    <row r="54" spans="1:8" ht="15" x14ac:dyDescent="0.25">
      <c r="A54" s="5" t="s">
        <v>70</v>
      </c>
      <c r="B54" s="5" t="s">
        <v>93</v>
      </c>
      <c r="C54" s="94">
        <v>5.8500000000000003E-2</v>
      </c>
      <c r="D54" s="117" t="s">
        <v>33</v>
      </c>
    </row>
    <row r="55" spans="1:8" ht="60" x14ac:dyDescent="0.25">
      <c r="A55" s="5" t="s">
        <v>71</v>
      </c>
      <c r="B55" s="5" t="s">
        <v>94</v>
      </c>
      <c r="C55" s="13">
        <v>2.3E-2</v>
      </c>
      <c r="D55" s="14" t="s">
        <v>12</v>
      </c>
    </row>
    <row r="57" spans="1:8" x14ac:dyDescent="0.25">
      <c r="H57" s="151"/>
    </row>
    <row r="59" spans="1:8" ht="14.25" thickBot="1" x14ac:dyDescent="0.3">
      <c r="A59" s="238" t="s">
        <v>73</v>
      </c>
      <c r="B59" s="238"/>
      <c r="C59" s="238"/>
      <c r="D59" s="238"/>
      <c r="E59" s="238"/>
      <c r="F59" s="238"/>
      <c r="G59" s="238"/>
      <c r="H59" s="238"/>
    </row>
    <row r="60" spans="1:8" ht="15.75" customHeight="1" x14ac:dyDescent="0.25">
      <c r="A60" s="177"/>
      <c r="B60" s="178" t="s">
        <v>165</v>
      </c>
      <c r="C60" s="178" t="s">
        <v>166</v>
      </c>
      <c r="D60" s="157"/>
      <c r="E60" s="157"/>
      <c r="F60" s="157"/>
      <c r="G60" s="157"/>
      <c r="H60" s="158"/>
    </row>
    <row r="61" spans="1:8" ht="15.75" customHeight="1" x14ac:dyDescent="0.25">
      <c r="A61" s="159" t="s">
        <v>167</v>
      </c>
      <c r="B61" s="179">
        <v>74.88</v>
      </c>
      <c r="C61" s="180">
        <f>B61*$C$55</f>
        <v>1.7222399999999998</v>
      </c>
      <c r="D61" s="118"/>
      <c r="E61" s="118"/>
      <c r="F61" s="118"/>
      <c r="G61" s="118"/>
      <c r="H61" s="163"/>
    </row>
    <row r="62" spans="1:8" ht="15.75" customHeight="1" x14ac:dyDescent="0.25">
      <c r="A62" s="159"/>
      <c r="D62" s="118"/>
      <c r="E62" s="118"/>
      <c r="F62" s="118"/>
      <c r="G62" s="118"/>
      <c r="H62" s="163"/>
    </row>
    <row r="63" spans="1:8" ht="15.75" customHeight="1" x14ac:dyDescent="0.25">
      <c r="A63" s="185"/>
      <c r="B63" s="242" t="s">
        <v>168</v>
      </c>
      <c r="C63" s="242"/>
      <c r="D63" s="118"/>
      <c r="E63" s="118"/>
      <c r="F63" s="118"/>
      <c r="G63" s="118"/>
      <c r="H63" s="163"/>
    </row>
    <row r="64" spans="1:8" ht="15.75" customHeight="1" x14ac:dyDescent="0.25">
      <c r="A64" s="159"/>
      <c r="B64" s="186" t="s">
        <v>169</v>
      </c>
      <c r="C64" s="186" t="s">
        <v>170</v>
      </c>
      <c r="D64" s="118"/>
      <c r="E64" s="118"/>
      <c r="F64" s="118"/>
      <c r="G64" s="118"/>
      <c r="H64" s="163"/>
    </row>
    <row r="65" spans="1:14" ht="15.75" customHeight="1" thickBot="1" x14ac:dyDescent="0.3">
      <c r="A65" s="164" t="s">
        <v>171</v>
      </c>
      <c r="B65" s="181">
        <v>3.363</v>
      </c>
      <c r="C65" s="182">
        <f>B65*$C$55</f>
        <v>7.7349000000000001E-2</v>
      </c>
      <c r="D65" s="165"/>
      <c r="E65" s="165"/>
      <c r="F65" s="165"/>
      <c r="G65" s="165"/>
      <c r="H65" s="166"/>
    </row>
    <row r="66" spans="1:14" ht="15.75" customHeight="1" x14ac:dyDescent="0.25">
      <c r="A66" s="183"/>
      <c r="B66" s="180"/>
      <c r="C66" s="180"/>
      <c r="D66" s="184"/>
      <c r="E66" s="184"/>
      <c r="F66" s="184"/>
      <c r="G66" s="184"/>
      <c r="H66" s="184"/>
    </row>
    <row r="67" spans="1:14" ht="15.75" thickBot="1" x14ac:dyDescent="0.3">
      <c r="A67" s="121"/>
      <c r="J67" s="116"/>
      <c r="K67" s="116"/>
      <c r="L67" s="116"/>
      <c r="M67" s="116"/>
    </row>
    <row r="68" spans="1:14" x14ac:dyDescent="0.25">
      <c r="A68" s="154" t="s">
        <v>172</v>
      </c>
      <c r="B68" s="155">
        <v>0</v>
      </c>
      <c r="C68" s="156"/>
      <c r="D68" s="157" t="s">
        <v>173</v>
      </c>
      <c r="E68" s="157"/>
      <c r="F68" s="157"/>
      <c r="G68" s="157"/>
      <c r="H68" s="158"/>
      <c r="J68" s="116"/>
      <c r="K68" s="116"/>
      <c r="L68" s="116"/>
      <c r="M68" s="116"/>
    </row>
    <row r="69" spans="1:14" x14ac:dyDescent="0.25">
      <c r="A69" s="159" t="s">
        <v>160</v>
      </c>
      <c r="B69" s="160">
        <v>0</v>
      </c>
      <c r="C69" s="161"/>
      <c r="D69" s="162" t="s">
        <v>161</v>
      </c>
      <c r="E69" s="162"/>
      <c r="F69" s="162"/>
      <c r="G69" s="162"/>
      <c r="H69" s="163"/>
      <c r="J69" s="116"/>
      <c r="K69" s="116"/>
      <c r="L69" s="116"/>
      <c r="M69" s="116"/>
    </row>
    <row r="70" spans="1:14" ht="36" customHeight="1" x14ac:dyDescent="0.25">
      <c r="A70" s="4" t="s">
        <v>79</v>
      </c>
      <c r="B70" s="4" t="s">
        <v>174</v>
      </c>
      <c r="C70" s="88" t="s">
        <v>95</v>
      </c>
      <c r="D70" s="151"/>
      <c r="E70" s="4" t="s">
        <v>174</v>
      </c>
      <c r="F70" s="4" t="s">
        <v>96</v>
      </c>
      <c r="H70" s="4" t="s">
        <v>174</v>
      </c>
      <c r="I70" s="4" t="s">
        <v>174</v>
      </c>
      <c r="J70" s="4" t="s">
        <v>96</v>
      </c>
      <c r="K70" s="4" t="s">
        <v>96</v>
      </c>
    </row>
    <row r="71" spans="1:14" x14ac:dyDescent="0.25">
      <c r="A71" s="5"/>
      <c r="B71" s="5" t="s">
        <v>11</v>
      </c>
      <c r="C71" s="5" t="s">
        <v>6</v>
      </c>
      <c r="D71" s="151"/>
      <c r="E71" s="5" t="s">
        <v>1</v>
      </c>
      <c r="F71" s="5" t="s">
        <v>1</v>
      </c>
      <c r="H71" s="5" t="s">
        <v>1</v>
      </c>
      <c r="I71" s="5" t="s">
        <v>1</v>
      </c>
      <c r="J71" s="5" t="s">
        <v>1</v>
      </c>
      <c r="K71" s="5" t="s">
        <v>1</v>
      </c>
    </row>
    <row r="72" spans="1:14" s="118" customFormat="1" x14ac:dyDescent="0.25">
      <c r="A72" s="5">
        <v>2022</v>
      </c>
      <c r="B72" s="187">
        <f>C61</f>
        <v>1.7222399999999998</v>
      </c>
      <c r="C72" s="187">
        <f>C65</f>
        <v>7.7349000000000001E-2</v>
      </c>
      <c r="D72" s="151"/>
      <c r="E72" s="119">
        <f>$B72*$C$9/100*$C$40</f>
        <v>539.88714733542315</v>
      </c>
      <c r="F72" s="119">
        <f>$C72*$C$28*$C$21*$C$40</f>
        <v>17.237777142857144</v>
      </c>
      <c r="H72" s="119">
        <f>$B72*$C$9/100*$H$40</f>
        <v>1079.7742946708463</v>
      </c>
      <c r="I72" s="119">
        <f>$B72*$C$9/100*$I$40</f>
        <v>269.94357366771158</v>
      </c>
      <c r="J72" s="119">
        <f>$C72*$C$28*$C$21*$H$40</f>
        <v>34.475554285714288</v>
      </c>
      <c r="K72" s="119">
        <f>$C72*$C$28*$C$21*$I$40</f>
        <v>8.6188885714285721</v>
      </c>
    </row>
    <row r="73" spans="1:14" x14ac:dyDescent="0.25">
      <c r="A73" s="5">
        <v>2023</v>
      </c>
      <c r="B73" s="187">
        <f>B72*(1+$B$68)</f>
        <v>1.7222399999999998</v>
      </c>
      <c r="C73" s="187">
        <f>C72*(1+$B$69)</f>
        <v>7.7349000000000001E-2</v>
      </c>
      <c r="D73" s="151"/>
      <c r="E73" s="119">
        <f t="shared" ref="E73:E100" si="0">$B73*$C$9/100*$C$40</f>
        <v>539.88714733542315</v>
      </c>
      <c r="F73" s="119">
        <f t="shared" ref="F73:F100" si="1">$C73*$C$28*$C$21*$C$40</f>
        <v>17.237777142857144</v>
      </c>
      <c r="H73" s="119">
        <f t="shared" ref="H73:H100" si="2">$B73*$C$9/100*$H$40</f>
        <v>1079.7742946708463</v>
      </c>
      <c r="I73" s="119">
        <f t="shared" ref="I73:I100" si="3">$B73*$C$9/100*$I$40</f>
        <v>269.94357366771158</v>
      </c>
      <c r="J73" s="119">
        <f t="shared" ref="J73:J100" si="4">$C73*$C$28*$C$21*$H$40</f>
        <v>34.475554285714288</v>
      </c>
      <c r="K73" s="119">
        <f t="shared" ref="K73:K100" si="5">$C73*$C$28*$C$21*$I$40</f>
        <v>8.6188885714285721</v>
      </c>
    </row>
    <row r="74" spans="1:14" x14ac:dyDescent="0.25">
      <c r="A74" s="5">
        <v>2024</v>
      </c>
      <c r="B74" s="187">
        <f t="shared" ref="B74:B100" si="6">B73*(1+$B$68)</f>
        <v>1.7222399999999998</v>
      </c>
      <c r="C74" s="187">
        <f t="shared" ref="C74:C100" si="7">C73*(1+$B$69)</f>
        <v>7.7349000000000001E-2</v>
      </c>
      <c r="D74" s="151"/>
      <c r="E74" s="119">
        <f t="shared" si="0"/>
        <v>539.88714733542315</v>
      </c>
      <c r="F74" s="119">
        <f t="shared" si="1"/>
        <v>17.237777142857144</v>
      </c>
      <c r="H74" s="119">
        <f t="shared" si="2"/>
        <v>1079.7742946708463</v>
      </c>
      <c r="I74" s="119">
        <f t="shared" si="3"/>
        <v>269.94357366771158</v>
      </c>
      <c r="J74" s="119">
        <f t="shared" si="4"/>
        <v>34.475554285714288</v>
      </c>
      <c r="K74" s="119">
        <f t="shared" si="5"/>
        <v>8.6188885714285721</v>
      </c>
    </row>
    <row r="75" spans="1:14" x14ac:dyDescent="0.25">
      <c r="A75" s="5">
        <v>2025</v>
      </c>
      <c r="B75" s="187">
        <f t="shared" si="6"/>
        <v>1.7222399999999998</v>
      </c>
      <c r="C75" s="187">
        <f t="shared" si="7"/>
        <v>7.7349000000000001E-2</v>
      </c>
      <c r="D75" s="151"/>
      <c r="E75" s="119">
        <f t="shared" si="0"/>
        <v>539.88714733542315</v>
      </c>
      <c r="F75" s="119">
        <f t="shared" si="1"/>
        <v>17.237777142857144</v>
      </c>
      <c r="H75" s="119">
        <f t="shared" si="2"/>
        <v>1079.7742946708463</v>
      </c>
      <c r="I75" s="119">
        <f t="shared" si="3"/>
        <v>269.94357366771158</v>
      </c>
      <c r="J75" s="119">
        <f t="shared" si="4"/>
        <v>34.475554285714288</v>
      </c>
      <c r="K75" s="119">
        <f t="shared" si="5"/>
        <v>8.6188885714285721</v>
      </c>
    </row>
    <row r="76" spans="1:14" x14ac:dyDescent="0.25">
      <c r="A76" s="5">
        <v>2026</v>
      </c>
      <c r="B76" s="187">
        <f t="shared" si="6"/>
        <v>1.7222399999999998</v>
      </c>
      <c r="C76" s="187">
        <f t="shared" si="7"/>
        <v>7.7349000000000001E-2</v>
      </c>
      <c r="D76" s="151"/>
      <c r="E76" s="119">
        <f t="shared" si="0"/>
        <v>539.88714733542315</v>
      </c>
      <c r="F76" s="119">
        <f t="shared" si="1"/>
        <v>17.237777142857144</v>
      </c>
      <c r="H76" s="119">
        <f t="shared" si="2"/>
        <v>1079.7742946708463</v>
      </c>
      <c r="I76" s="119">
        <f t="shared" si="3"/>
        <v>269.94357366771158</v>
      </c>
      <c r="J76" s="119">
        <f t="shared" si="4"/>
        <v>34.475554285714288</v>
      </c>
      <c r="K76" s="119">
        <f t="shared" si="5"/>
        <v>8.6188885714285721</v>
      </c>
    </row>
    <row r="77" spans="1:14" x14ac:dyDescent="0.25">
      <c r="A77" s="5">
        <v>2027</v>
      </c>
      <c r="B77" s="187">
        <f t="shared" si="6"/>
        <v>1.7222399999999998</v>
      </c>
      <c r="C77" s="187">
        <f t="shared" si="7"/>
        <v>7.7349000000000001E-2</v>
      </c>
      <c r="D77" s="151"/>
      <c r="E77" s="119">
        <f t="shared" si="0"/>
        <v>539.88714733542315</v>
      </c>
      <c r="F77" s="119">
        <f t="shared" si="1"/>
        <v>17.237777142857144</v>
      </c>
      <c r="H77" s="119">
        <f t="shared" si="2"/>
        <v>1079.7742946708463</v>
      </c>
      <c r="I77" s="119">
        <f t="shared" si="3"/>
        <v>269.94357366771158</v>
      </c>
      <c r="J77" s="119">
        <f t="shared" si="4"/>
        <v>34.475554285714288</v>
      </c>
      <c r="K77" s="119">
        <f t="shared" si="5"/>
        <v>8.6188885714285721</v>
      </c>
    </row>
    <row r="78" spans="1:14" x14ac:dyDescent="0.25">
      <c r="A78" s="5">
        <v>2028</v>
      </c>
      <c r="B78" s="187">
        <f t="shared" si="6"/>
        <v>1.7222399999999998</v>
      </c>
      <c r="C78" s="187">
        <f t="shared" si="7"/>
        <v>7.7349000000000001E-2</v>
      </c>
      <c r="D78" s="151"/>
      <c r="E78" s="119">
        <f t="shared" si="0"/>
        <v>539.88714733542315</v>
      </c>
      <c r="F78" s="119">
        <f t="shared" si="1"/>
        <v>17.237777142857144</v>
      </c>
      <c r="H78" s="119">
        <f t="shared" si="2"/>
        <v>1079.7742946708463</v>
      </c>
      <c r="I78" s="119">
        <f t="shared" si="3"/>
        <v>269.94357366771158</v>
      </c>
      <c r="J78" s="119">
        <f t="shared" si="4"/>
        <v>34.475554285714288</v>
      </c>
      <c r="K78" s="119">
        <f t="shared" si="5"/>
        <v>8.6188885714285721</v>
      </c>
      <c r="N78" s="151"/>
    </row>
    <row r="79" spans="1:14" x14ac:dyDescent="0.25">
      <c r="A79" s="5">
        <v>2029</v>
      </c>
      <c r="B79" s="187">
        <f t="shared" si="6"/>
        <v>1.7222399999999998</v>
      </c>
      <c r="C79" s="187">
        <f t="shared" si="7"/>
        <v>7.7349000000000001E-2</v>
      </c>
      <c r="D79" s="151"/>
      <c r="E79" s="119">
        <f t="shared" si="0"/>
        <v>539.88714733542315</v>
      </c>
      <c r="F79" s="119">
        <f t="shared" si="1"/>
        <v>17.237777142857144</v>
      </c>
      <c r="H79" s="119">
        <f t="shared" si="2"/>
        <v>1079.7742946708463</v>
      </c>
      <c r="I79" s="119">
        <f t="shared" si="3"/>
        <v>269.94357366771158</v>
      </c>
      <c r="J79" s="119">
        <f t="shared" si="4"/>
        <v>34.475554285714288</v>
      </c>
      <c r="K79" s="119">
        <f t="shared" si="5"/>
        <v>8.6188885714285721</v>
      </c>
    </row>
    <row r="80" spans="1:14" x14ac:dyDescent="0.25">
      <c r="A80" s="5">
        <v>2030</v>
      </c>
      <c r="B80" s="187">
        <f t="shared" si="6"/>
        <v>1.7222399999999998</v>
      </c>
      <c r="C80" s="187">
        <f t="shared" si="7"/>
        <v>7.7349000000000001E-2</v>
      </c>
      <c r="D80" s="151"/>
      <c r="E80" s="119">
        <f t="shared" si="0"/>
        <v>539.88714733542315</v>
      </c>
      <c r="F80" s="119">
        <f t="shared" si="1"/>
        <v>17.237777142857144</v>
      </c>
      <c r="H80" s="119">
        <f t="shared" si="2"/>
        <v>1079.7742946708463</v>
      </c>
      <c r="I80" s="119">
        <f t="shared" si="3"/>
        <v>269.94357366771158</v>
      </c>
      <c r="J80" s="119">
        <f t="shared" si="4"/>
        <v>34.475554285714288</v>
      </c>
      <c r="K80" s="119">
        <f t="shared" si="5"/>
        <v>8.6188885714285721</v>
      </c>
    </row>
    <row r="81" spans="1:11" x14ac:dyDescent="0.25">
      <c r="A81" s="5">
        <v>2031</v>
      </c>
      <c r="B81" s="187">
        <f t="shared" si="6"/>
        <v>1.7222399999999998</v>
      </c>
      <c r="C81" s="187">
        <f t="shared" si="7"/>
        <v>7.7349000000000001E-2</v>
      </c>
      <c r="D81" s="151"/>
      <c r="E81" s="119">
        <f t="shared" si="0"/>
        <v>539.88714733542315</v>
      </c>
      <c r="F81" s="119">
        <f t="shared" si="1"/>
        <v>17.237777142857144</v>
      </c>
      <c r="H81" s="119">
        <f t="shared" si="2"/>
        <v>1079.7742946708463</v>
      </c>
      <c r="I81" s="119">
        <f t="shared" si="3"/>
        <v>269.94357366771158</v>
      </c>
      <c r="J81" s="119">
        <f t="shared" si="4"/>
        <v>34.475554285714288</v>
      </c>
      <c r="K81" s="119">
        <f t="shared" si="5"/>
        <v>8.6188885714285721</v>
      </c>
    </row>
    <row r="82" spans="1:11" x14ac:dyDescent="0.25">
      <c r="A82" s="5">
        <v>2032</v>
      </c>
      <c r="B82" s="187">
        <f t="shared" si="6"/>
        <v>1.7222399999999998</v>
      </c>
      <c r="C82" s="187">
        <f t="shared" si="7"/>
        <v>7.7349000000000001E-2</v>
      </c>
      <c r="D82" s="151"/>
      <c r="E82" s="119">
        <f t="shared" si="0"/>
        <v>539.88714733542315</v>
      </c>
      <c r="F82" s="119">
        <f t="shared" si="1"/>
        <v>17.237777142857144</v>
      </c>
      <c r="H82" s="119">
        <f t="shared" si="2"/>
        <v>1079.7742946708463</v>
      </c>
      <c r="I82" s="119">
        <f t="shared" si="3"/>
        <v>269.94357366771158</v>
      </c>
      <c r="J82" s="119">
        <f t="shared" si="4"/>
        <v>34.475554285714288</v>
      </c>
      <c r="K82" s="119">
        <f t="shared" si="5"/>
        <v>8.6188885714285721</v>
      </c>
    </row>
    <row r="83" spans="1:11" x14ac:dyDescent="0.25">
      <c r="A83" s="5">
        <v>2033</v>
      </c>
      <c r="B83" s="187">
        <f t="shared" si="6"/>
        <v>1.7222399999999998</v>
      </c>
      <c r="C83" s="187">
        <f t="shared" si="7"/>
        <v>7.7349000000000001E-2</v>
      </c>
      <c r="D83" s="151"/>
      <c r="E83" s="119">
        <f t="shared" si="0"/>
        <v>539.88714733542315</v>
      </c>
      <c r="F83" s="119">
        <f t="shared" si="1"/>
        <v>17.237777142857144</v>
      </c>
      <c r="H83" s="119">
        <f t="shared" si="2"/>
        <v>1079.7742946708463</v>
      </c>
      <c r="I83" s="119">
        <f t="shared" si="3"/>
        <v>269.94357366771158</v>
      </c>
      <c r="J83" s="119">
        <f t="shared" si="4"/>
        <v>34.475554285714288</v>
      </c>
      <c r="K83" s="119">
        <f t="shared" si="5"/>
        <v>8.6188885714285721</v>
      </c>
    </row>
    <row r="84" spans="1:11" x14ac:dyDescent="0.25">
      <c r="A84" s="5">
        <v>2034</v>
      </c>
      <c r="B84" s="187">
        <f t="shared" si="6"/>
        <v>1.7222399999999998</v>
      </c>
      <c r="C84" s="187">
        <f t="shared" si="7"/>
        <v>7.7349000000000001E-2</v>
      </c>
      <c r="D84" s="151"/>
      <c r="E84" s="119">
        <f t="shared" si="0"/>
        <v>539.88714733542315</v>
      </c>
      <c r="F84" s="119">
        <f t="shared" si="1"/>
        <v>17.237777142857144</v>
      </c>
      <c r="H84" s="119">
        <f t="shared" si="2"/>
        <v>1079.7742946708463</v>
      </c>
      <c r="I84" s="119">
        <f t="shared" si="3"/>
        <v>269.94357366771158</v>
      </c>
      <c r="J84" s="119">
        <f t="shared" si="4"/>
        <v>34.475554285714288</v>
      </c>
      <c r="K84" s="119">
        <f t="shared" si="5"/>
        <v>8.6188885714285721</v>
      </c>
    </row>
    <row r="85" spans="1:11" x14ac:dyDescent="0.25">
      <c r="A85" s="5">
        <v>2035</v>
      </c>
      <c r="B85" s="187">
        <f t="shared" si="6"/>
        <v>1.7222399999999998</v>
      </c>
      <c r="C85" s="187">
        <f t="shared" si="7"/>
        <v>7.7349000000000001E-2</v>
      </c>
      <c r="D85" s="151"/>
      <c r="E85" s="119">
        <f t="shared" si="0"/>
        <v>539.88714733542315</v>
      </c>
      <c r="F85" s="119">
        <f t="shared" si="1"/>
        <v>17.237777142857144</v>
      </c>
      <c r="H85" s="119">
        <f t="shared" si="2"/>
        <v>1079.7742946708463</v>
      </c>
      <c r="I85" s="119">
        <f t="shared" si="3"/>
        <v>269.94357366771158</v>
      </c>
      <c r="J85" s="119">
        <f t="shared" si="4"/>
        <v>34.475554285714288</v>
      </c>
      <c r="K85" s="119">
        <f t="shared" si="5"/>
        <v>8.6188885714285721</v>
      </c>
    </row>
    <row r="86" spans="1:11" x14ac:dyDescent="0.25">
      <c r="A86" s="5">
        <v>2036</v>
      </c>
      <c r="B86" s="187">
        <f t="shared" si="6"/>
        <v>1.7222399999999998</v>
      </c>
      <c r="C86" s="187">
        <f t="shared" si="7"/>
        <v>7.7349000000000001E-2</v>
      </c>
      <c r="D86" s="151"/>
      <c r="E86" s="119">
        <f t="shared" si="0"/>
        <v>539.88714733542315</v>
      </c>
      <c r="F86" s="119">
        <f t="shared" si="1"/>
        <v>17.237777142857144</v>
      </c>
      <c r="H86" s="119">
        <f t="shared" si="2"/>
        <v>1079.7742946708463</v>
      </c>
      <c r="I86" s="119">
        <f t="shared" si="3"/>
        <v>269.94357366771158</v>
      </c>
      <c r="J86" s="119">
        <f t="shared" si="4"/>
        <v>34.475554285714288</v>
      </c>
      <c r="K86" s="119">
        <f t="shared" si="5"/>
        <v>8.6188885714285721</v>
      </c>
    </row>
    <row r="87" spans="1:11" x14ac:dyDescent="0.25">
      <c r="A87" s="5">
        <v>2037</v>
      </c>
      <c r="B87" s="187">
        <f t="shared" si="6"/>
        <v>1.7222399999999998</v>
      </c>
      <c r="C87" s="187">
        <f t="shared" si="7"/>
        <v>7.7349000000000001E-2</v>
      </c>
      <c r="D87" s="151"/>
      <c r="E87" s="119">
        <f t="shared" si="0"/>
        <v>539.88714733542315</v>
      </c>
      <c r="F87" s="119">
        <f t="shared" si="1"/>
        <v>17.237777142857144</v>
      </c>
      <c r="H87" s="119">
        <f t="shared" si="2"/>
        <v>1079.7742946708463</v>
      </c>
      <c r="I87" s="119">
        <f t="shared" si="3"/>
        <v>269.94357366771158</v>
      </c>
      <c r="J87" s="119">
        <f t="shared" si="4"/>
        <v>34.475554285714288</v>
      </c>
      <c r="K87" s="119">
        <f t="shared" si="5"/>
        <v>8.6188885714285721</v>
      </c>
    </row>
    <row r="88" spans="1:11" x14ac:dyDescent="0.25">
      <c r="A88" s="5">
        <v>2038</v>
      </c>
      <c r="B88" s="187">
        <f t="shared" si="6"/>
        <v>1.7222399999999998</v>
      </c>
      <c r="C88" s="187">
        <f t="shared" si="7"/>
        <v>7.7349000000000001E-2</v>
      </c>
      <c r="D88" s="151"/>
      <c r="E88" s="119">
        <f t="shared" si="0"/>
        <v>539.88714733542315</v>
      </c>
      <c r="F88" s="119">
        <f t="shared" si="1"/>
        <v>17.237777142857144</v>
      </c>
      <c r="H88" s="119">
        <f t="shared" si="2"/>
        <v>1079.7742946708463</v>
      </c>
      <c r="I88" s="119">
        <f t="shared" si="3"/>
        <v>269.94357366771158</v>
      </c>
      <c r="J88" s="119">
        <f t="shared" si="4"/>
        <v>34.475554285714288</v>
      </c>
      <c r="K88" s="119">
        <f t="shared" si="5"/>
        <v>8.6188885714285721</v>
      </c>
    </row>
    <row r="89" spans="1:11" x14ac:dyDescent="0.25">
      <c r="A89" s="5">
        <v>2039</v>
      </c>
      <c r="B89" s="187">
        <f t="shared" si="6"/>
        <v>1.7222399999999998</v>
      </c>
      <c r="C89" s="187">
        <f t="shared" si="7"/>
        <v>7.7349000000000001E-2</v>
      </c>
      <c r="D89" s="151"/>
      <c r="E89" s="119">
        <f t="shared" si="0"/>
        <v>539.88714733542315</v>
      </c>
      <c r="F89" s="119">
        <f t="shared" si="1"/>
        <v>17.237777142857144</v>
      </c>
      <c r="H89" s="119">
        <f t="shared" si="2"/>
        <v>1079.7742946708463</v>
      </c>
      <c r="I89" s="119">
        <f t="shared" si="3"/>
        <v>269.94357366771158</v>
      </c>
      <c r="J89" s="119">
        <f t="shared" si="4"/>
        <v>34.475554285714288</v>
      </c>
      <c r="K89" s="119">
        <f t="shared" si="5"/>
        <v>8.6188885714285721</v>
      </c>
    </row>
    <row r="90" spans="1:11" x14ac:dyDescent="0.25">
      <c r="A90" s="5">
        <v>2040</v>
      </c>
      <c r="B90" s="187">
        <f t="shared" si="6"/>
        <v>1.7222399999999998</v>
      </c>
      <c r="C90" s="187">
        <f t="shared" si="7"/>
        <v>7.7349000000000001E-2</v>
      </c>
      <c r="D90" s="151"/>
      <c r="E90" s="119">
        <f t="shared" si="0"/>
        <v>539.88714733542315</v>
      </c>
      <c r="F90" s="119">
        <f t="shared" si="1"/>
        <v>17.237777142857144</v>
      </c>
      <c r="H90" s="119">
        <f t="shared" si="2"/>
        <v>1079.7742946708463</v>
      </c>
      <c r="I90" s="119">
        <f t="shared" si="3"/>
        <v>269.94357366771158</v>
      </c>
      <c r="J90" s="119">
        <f t="shared" si="4"/>
        <v>34.475554285714288</v>
      </c>
      <c r="K90" s="119">
        <f t="shared" si="5"/>
        <v>8.6188885714285721</v>
      </c>
    </row>
    <row r="91" spans="1:11" x14ac:dyDescent="0.25">
      <c r="A91" s="5">
        <v>2041</v>
      </c>
      <c r="B91" s="187">
        <f t="shared" si="6"/>
        <v>1.7222399999999998</v>
      </c>
      <c r="C91" s="187">
        <f t="shared" si="7"/>
        <v>7.7349000000000001E-2</v>
      </c>
      <c r="D91" s="151"/>
      <c r="E91" s="119">
        <f t="shared" si="0"/>
        <v>539.88714733542315</v>
      </c>
      <c r="F91" s="119">
        <f t="shared" si="1"/>
        <v>17.237777142857144</v>
      </c>
      <c r="H91" s="119">
        <f t="shared" si="2"/>
        <v>1079.7742946708463</v>
      </c>
      <c r="I91" s="119">
        <f t="shared" si="3"/>
        <v>269.94357366771158</v>
      </c>
      <c r="J91" s="119">
        <f t="shared" si="4"/>
        <v>34.475554285714288</v>
      </c>
      <c r="K91" s="119">
        <f t="shared" si="5"/>
        <v>8.6188885714285721</v>
      </c>
    </row>
    <row r="92" spans="1:11" x14ac:dyDescent="0.25">
      <c r="A92" s="5">
        <v>2042</v>
      </c>
      <c r="B92" s="187">
        <f t="shared" si="6"/>
        <v>1.7222399999999998</v>
      </c>
      <c r="C92" s="187">
        <f t="shared" si="7"/>
        <v>7.7349000000000001E-2</v>
      </c>
      <c r="D92" s="151"/>
      <c r="E92" s="119">
        <f t="shared" si="0"/>
        <v>539.88714733542315</v>
      </c>
      <c r="F92" s="119">
        <f t="shared" si="1"/>
        <v>17.237777142857144</v>
      </c>
      <c r="H92" s="119">
        <f t="shared" si="2"/>
        <v>1079.7742946708463</v>
      </c>
      <c r="I92" s="119">
        <f t="shared" si="3"/>
        <v>269.94357366771158</v>
      </c>
      <c r="J92" s="119">
        <f t="shared" si="4"/>
        <v>34.475554285714288</v>
      </c>
      <c r="K92" s="119">
        <f t="shared" si="5"/>
        <v>8.6188885714285721</v>
      </c>
    </row>
    <row r="93" spans="1:11" x14ac:dyDescent="0.25">
      <c r="A93" s="5">
        <v>2043</v>
      </c>
      <c r="B93" s="187">
        <f t="shared" si="6"/>
        <v>1.7222399999999998</v>
      </c>
      <c r="C93" s="187">
        <f t="shared" si="7"/>
        <v>7.7349000000000001E-2</v>
      </c>
      <c r="D93" s="151"/>
      <c r="E93" s="119">
        <f t="shared" si="0"/>
        <v>539.88714733542315</v>
      </c>
      <c r="F93" s="119">
        <f t="shared" si="1"/>
        <v>17.237777142857144</v>
      </c>
      <c r="H93" s="119">
        <f t="shared" si="2"/>
        <v>1079.7742946708463</v>
      </c>
      <c r="I93" s="119">
        <f t="shared" si="3"/>
        <v>269.94357366771158</v>
      </c>
      <c r="J93" s="119">
        <f t="shared" si="4"/>
        <v>34.475554285714288</v>
      </c>
      <c r="K93" s="119">
        <f t="shared" si="5"/>
        <v>8.6188885714285721</v>
      </c>
    </row>
    <row r="94" spans="1:11" x14ac:dyDescent="0.25">
      <c r="A94" s="5">
        <v>2044</v>
      </c>
      <c r="B94" s="187">
        <f t="shared" si="6"/>
        <v>1.7222399999999998</v>
      </c>
      <c r="C94" s="187">
        <f t="shared" si="7"/>
        <v>7.7349000000000001E-2</v>
      </c>
      <c r="D94" s="151"/>
      <c r="E94" s="119">
        <f t="shared" si="0"/>
        <v>539.88714733542315</v>
      </c>
      <c r="F94" s="119">
        <f t="shared" si="1"/>
        <v>17.237777142857144</v>
      </c>
      <c r="H94" s="119">
        <f t="shared" si="2"/>
        <v>1079.7742946708463</v>
      </c>
      <c r="I94" s="119">
        <f t="shared" si="3"/>
        <v>269.94357366771158</v>
      </c>
      <c r="J94" s="119">
        <f t="shared" si="4"/>
        <v>34.475554285714288</v>
      </c>
      <c r="K94" s="119">
        <f t="shared" si="5"/>
        <v>8.6188885714285721</v>
      </c>
    </row>
    <row r="95" spans="1:11" x14ac:dyDescent="0.25">
      <c r="A95" s="5">
        <v>2045</v>
      </c>
      <c r="B95" s="187">
        <f t="shared" si="6"/>
        <v>1.7222399999999998</v>
      </c>
      <c r="C95" s="187">
        <f t="shared" si="7"/>
        <v>7.7349000000000001E-2</v>
      </c>
      <c r="D95" s="151"/>
      <c r="E95" s="119">
        <f t="shared" si="0"/>
        <v>539.88714733542315</v>
      </c>
      <c r="F95" s="119">
        <f t="shared" si="1"/>
        <v>17.237777142857144</v>
      </c>
      <c r="H95" s="119">
        <f t="shared" si="2"/>
        <v>1079.7742946708463</v>
      </c>
      <c r="I95" s="119">
        <f t="shared" si="3"/>
        <v>269.94357366771158</v>
      </c>
      <c r="J95" s="119">
        <f t="shared" si="4"/>
        <v>34.475554285714288</v>
      </c>
      <c r="K95" s="119">
        <f t="shared" si="5"/>
        <v>8.6188885714285721</v>
      </c>
    </row>
    <row r="96" spans="1:11" x14ac:dyDescent="0.25">
      <c r="A96" s="5">
        <v>2046</v>
      </c>
      <c r="B96" s="187">
        <f t="shared" si="6"/>
        <v>1.7222399999999998</v>
      </c>
      <c r="C96" s="187">
        <f t="shared" si="7"/>
        <v>7.7349000000000001E-2</v>
      </c>
      <c r="D96" s="151"/>
      <c r="E96" s="119">
        <f t="shared" si="0"/>
        <v>539.88714733542315</v>
      </c>
      <c r="F96" s="119">
        <f t="shared" si="1"/>
        <v>17.237777142857144</v>
      </c>
      <c r="H96" s="119">
        <f t="shared" si="2"/>
        <v>1079.7742946708463</v>
      </c>
      <c r="I96" s="119">
        <f t="shared" si="3"/>
        <v>269.94357366771158</v>
      </c>
      <c r="J96" s="119">
        <f t="shared" si="4"/>
        <v>34.475554285714288</v>
      </c>
      <c r="K96" s="119">
        <f t="shared" si="5"/>
        <v>8.6188885714285721</v>
      </c>
    </row>
    <row r="97" spans="1:11" x14ac:dyDescent="0.25">
      <c r="A97" s="5">
        <v>2047</v>
      </c>
      <c r="B97" s="187">
        <f t="shared" si="6"/>
        <v>1.7222399999999998</v>
      </c>
      <c r="C97" s="187">
        <f t="shared" si="7"/>
        <v>7.7349000000000001E-2</v>
      </c>
      <c r="D97" s="151"/>
      <c r="E97" s="119">
        <f t="shared" si="0"/>
        <v>539.88714733542315</v>
      </c>
      <c r="F97" s="119">
        <f t="shared" si="1"/>
        <v>17.237777142857144</v>
      </c>
      <c r="H97" s="119">
        <f t="shared" si="2"/>
        <v>1079.7742946708463</v>
      </c>
      <c r="I97" s="119">
        <f t="shared" si="3"/>
        <v>269.94357366771158</v>
      </c>
      <c r="J97" s="119">
        <f t="shared" si="4"/>
        <v>34.475554285714288</v>
      </c>
      <c r="K97" s="119">
        <f t="shared" si="5"/>
        <v>8.6188885714285721</v>
      </c>
    </row>
    <row r="98" spans="1:11" x14ac:dyDescent="0.25">
      <c r="A98" s="5">
        <v>2048</v>
      </c>
      <c r="B98" s="187">
        <f t="shared" si="6"/>
        <v>1.7222399999999998</v>
      </c>
      <c r="C98" s="187">
        <f t="shared" si="7"/>
        <v>7.7349000000000001E-2</v>
      </c>
      <c r="D98" s="151"/>
      <c r="E98" s="119">
        <f t="shared" si="0"/>
        <v>539.88714733542315</v>
      </c>
      <c r="F98" s="119">
        <f t="shared" si="1"/>
        <v>17.237777142857144</v>
      </c>
      <c r="H98" s="119">
        <f t="shared" si="2"/>
        <v>1079.7742946708463</v>
      </c>
      <c r="I98" s="119">
        <f t="shared" si="3"/>
        <v>269.94357366771158</v>
      </c>
      <c r="J98" s="119">
        <f t="shared" si="4"/>
        <v>34.475554285714288</v>
      </c>
      <c r="K98" s="119">
        <f t="shared" si="5"/>
        <v>8.6188885714285721</v>
      </c>
    </row>
    <row r="99" spans="1:11" x14ac:dyDescent="0.25">
      <c r="A99" s="5">
        <v>2049</v>
      </c>
      <c r="B99" s="187">
        <f t="shared" si="6"/>
        <v>1.7222399999999998</v>
      </c>
      <c r="C99" s="187">
        <f t="shared" si="7"/>
        <v>7.7349000000000001E-2</v>
      </c>
      <c r="D99" s="151"/>
      <c r="E99" s="119">
        <f t="shared" si="0"/>
        <v>539.88714733542315</v>
      </c>
      <c r="F99" s="119">
        <f t="shared" si="1"/>
        <v>17.237777142857144</v>
      </c>
      <c r="H99" s="119">
        <f t="shared" si="2"/>
        <v>1079.7742946708463</v>
      </c>
      <c r="I99" s="119">
        <f t="shared" si="3"/>
        <v>269.94357366771158</v>
      </c>
      <c r="J99" s="119">
        <f t="shared" si="4"/>
        <v>34.475554285714288</v>
      </c>
      <c r="K99" s="119">
        <f t="shared" si="5"/>
        <v>8.6188885714285721</v>
      </c>
    </row>
    <row r="100" spans="1:11" x14ac:dyDescent="0.25">
      <c r="A100" s="5">
        <v>2050</v>
      </c>
      <c r="B100" s="187">
        <f t="shared" si="6"/>
        <v>1.7222399999999998</v>
      </c>
      <c r="C100" s="187">
        <f t="shared" si="7"/>
        <v>7.7349000000000001E-2</v>
      </c>
      <c r="D100" s="151"/>
      <c r="E100" s="119">
        <f t="shared" si="0"/>
        <v>539.88714733542315</v>
      </c>
      <c r="F100" s="119">
        <f t="shared" si="1"/>
        <v>17.237777142857144</v>
      </c>
      <c r="H100" s="119">
        <f t="shared" si="2"/>
        <v>1079.7742946708463</v>
      </c>
      <c r="I100" s="119">
        <f t="shared" si="3"/>
        <v>269.94357366771158</v>
      </c>
      <c r="J100" s="119">
        <f t="shared" si="4"/>
        <v>34.475554285714288</v>
      </c>
      <c r="K100" s="119">
        <f t="shared" si="5"/>
        <v>8.6188885714285721</v>
      </c>
    </row>
    <row r="101" spans="1:11" x14ac:dyDescent="0.25">
      <c r="D101" s="151"/>
    </row>
    <row r="102" spans="1:11" ht="15" x14ac:dyDescent="0.25">
      <c r="A102" s="162" t="s">
        <v>47</v>
      </c>
      <c r="B102" s="188" t="s">
        <v>26</v>
      </c>
      <c r="C102" s="189" t="s">
        <v>175</v>
      </c>
    </row>
    <row r="103" spans="1:11" ht="15" x14ac:dyDescent="0.25">
      <c r="A103" s="162"/>
      <c r="B103" s="162" t="s">
        <v>96</v>
      </c>
      <c r="C103" s="190" t="s">
        <v>176</v>
      </c>
    </row>
    <row r="105" spans="1:11" x14ac:dyDescent="0.25">
      <c r="A105" s="238" t="s">
        <v>75</v>
      </c>
      <c r="B105" s="238"/>
      <c r="C105" s="238"/>
      <c r="D105" s="238"/>
      <c r="E105" s="238"/>
      <c r="F105" s="238"/>
    </row>
    <row r="106" spans="1:11" x14ac:dyDescent="0.25">
      <c r="A106" s="112" t="s">
        <v>121</v>
      </c>
    </row>
    <row r="107" spans="1:11" x14ac:dyDescent="0.25">
      <c r="A107" s="4" t="s">
        <v>44</v>
      </c>
      <c r="B107" s="4" t="s">
        <v>45</v>
      </c>
      <c r="C107" s="4" t="s">
        <v>46</v>
      </c>
      <c r="D107" s="4" t="s">
        <v>47</v>
      </c>
    </row>
    <row r="108" spans="1:11" x14ac:dyDescent="0.25">
      <c r="A108" s="5" t="s">
        <v>76</v>
      </c>
      <c r="B108" s="5" t="s">
        <v>5</v>
      </c>
      <c r="C108" s="11">
        <v>0.05</v>
      </c>
      <c r="D108" s="110"/>
    </row>
    <row r="109" spans="1:11" x14ac:dyDescent="0.25">
      <c r="A109" s="5" t="s">
        <v>31</v>
      </c>
      <c r="B109" s="5" t="s">
        <v>5</v>
      </c>
      <c r="C109" s="12">
        <v>0.23</v>
      </c>
      <c r="D109" s="110"/>
    </row>
    <row r="110" spans="1:11" x14ac:dyDescent="0.25">
      <c r="A110" s="5" t="s">
        <v>77</v>
      </c>
      <c r="B110" s="5" t="s">
        <v>5</v>
      </c>
      <c r="C110" s="12">
        <v>0.22</v>
      </c>
      <c r="D110" s="110"/>
    </row>
    <row r="111" spans="1:11" x14ac:dyDescent="0.25">
      <c r="A111" s="5" t="s">
        <v>30</v>
      </c>
      <c r="B111" s="5" t="s">
        <v>5</v>
      </c>
      <c r="C111" s="94">
        <v>0.16450000000000001</v>
      </c>
      <c r="D111" s="110" t="s">
        <v>125</v>
      </c>
    </row>
    <row r="112" spans="1:11" x14ac:dyDescent="0.25">
      <c r="A112" s="5" t="s">
        <v>32</v>
      </c>
      <c r="B112" s="5" t="s">
        <v>5</v>
      </c>
      <c r="C112" s="11">
        <v>0.05</v>
      </c>
      <c r="D112" s="110" t="s">
        <v>35</v>
      </c>
    </row>
    <row r="113" spans="1:9" x14ac:dyDescent="0.25">
      <c r="A113" s="5" t="s">
        <v>34</v>
      </c>
      <c r="B113" s="5" t="s">
        <v>5</v>
      </c>
      <c r="C113" s="92">
        <v>4.4999999999999998E-2</v>
      </c>
      <c r="D113" s="110" t="s">
        <v>35</v>
      </c>
    </row>
    <row r="114" spans="1:9" x14ac:dyDescent="0.25">
      <c r="A114" s="112" t="s">
        <v>122</v>
      </c>
    </row>
    <row r="115" spans="1:9" x14ac:dyDescent="0.25">
      <c r="A115" s="4" t="s">
        <v>44</v>
      </c>
      <c r="B115" s="4" t="s">
        <v>45</v>
      </c>
      <c r="C115" s="4" t="s">
        <v>46</v>
      </c>
      <c r="D115" s="4" t="s">
        <v>47</v>
      </c>
    </row>
    <row r="116" spans="1:9" x14ac:dyDescent="0.25">
      <c r="A116" s="5" t="s">
        <v>76</v>
      </c>
      <c r="B116" s="5" t="s">
        <v>5</v>
      </c>
      <c r="C116" s="11">
        <v>0.05</v>
      </c>
      <c r="D116" s="110"/>
    </row>
    <row r="117" spans="1:9" x14ac:dyDescent="0.25">
      <c r="A117" s="5" t="s">
        <v>31</v>
      </c>
      <c r="B117" s="5" t="s">
        <v>5</v>
      </c>
      <c r="C117" s="12">
        <v>0</v>
      </c>
      <c r="D117" s="110"/>
    </row>
    <row r="118" spans="1:9" x14ac:dyDescent="0.25">
      <c r="A118" s="5" t="s">
        <v>77</v>
      </c>
      <c r="B118" s="5" t="s">
        <v>5</v>
      </c>
      <c r="C118" s="12">
        <v>0.22</v>
      </c>
      <c r="D118" s="110"/>
    </row>
    <row r="119" spans="1:9" x14ac:dyDescent="0.25">
      <c r="A119" s="5" t="s">
        <v>30</v>
      </c>
      <c r="B119" s="5" t="s">
        <v>5</v>
      </c>
      <c r="C119" s="94">
        <v>1.15E-2</v>
      </c>
      <c r="D119" s="110"/>
    </row>
    <row r="120" spans="1:9" x14ac:dyDescent="0.25">
      <c r="A120" s="5" t="s">
        <v>32</v>
      </c>
      <c r="B120" s="5" t="s">
        <v>1</v>
      </c>
      <c r="C120" s="107">
        <v>0</v>
      </c>
      <c r="D120" s="110" t="s">
        <v>35</v>
      </c>
    </row>
    <row r="121" spans="1:9" x14ac:dyDescent="0.25">
      <c r="A121" s="5" t="s">
        <v>34</v>
      </c>
      <c r="B121" s="5" t="s">
        <v>1</v>
      </c>
      <c r="C121" s="107">
        <v>0</v>
      </c>
      <c r="D121" s="110" t="s">
        <v>35</v>
      </c>
    </row>
    <row r="122" spans="1:9" s="114" customFormat="1" x14ac:dyDescent="0.25">
      <c r="A122" s="6"/>
      <c r="B122" s="6"/>
      <c r="C122" s="93"/>
      <c r="D122" s="87"/>
    </row>
    <row r="123" spans="1:9" x14ac:dyDescent="0.25">
      <c r="A123" s="238" t="s">
        <v>97</v>
      </c>
      <c r="B123" s="238"/>
      <c r="C123" s="238"/>
      <c r="D123" s="238"/>
      <c r="E123" s="238"/>
      <c r="F123" s="238"/>
    </row>
    <row r="124" spans="1:9" x14ac:dyDescent="0.25">
      <c r="A124" s="4" t="s">
        <v>44</v>
      </c>
      <c r="B124" s="4" t="s">
        <v>45</v>
      </c>
      <c r="C124" s="4" t="s">
        <v>46</v>
      </c>
      <c r="D124" s="4" t="s">
        <v>47</v>
      </c>
    </row>
    <row r="125" spans="1:9" x14ac:dyDescent="0.25">
      <c r="A125" s="120" t="s">
        <v>20</v>
      </c>
      <c r="B125" s="5" t="s">
        <v>14</v>
      </c>
      <c r="C125" s="89">
        <v>257</v>
      </c>
      <c r="D125" s="16"/>
    </row>
    <row r="126" spans="1:9" x14ac:dyDescent="0.25">
      <c r="A126" s="120" t="s">
        <v>80</v>
      </c>
      <c r="B126" s="5" t="s">
        <v>13</v>
      </c>
      <c r="C126" s="17">
        <v>2.7600000000000003E-2</v>
      </c>
      <c r="D126" s="16"/>
      <c r="F126" s="237" t="s">
        <v>86</v>
      </c>
      <c r="G126" s="237"/>
      <c r="H126" s="237"/>
      <c r="I126" s="237"/>
    </row>
    <row r="127" spans="1:9" x14ac:dyDescent="0.25">
      <c r="A127" s="120" t="s">
        <v>81</v>
      </c>
      <c r="B127" s="5" t="s">
        <v>15</v>
      </c>
      <c r="C127" s="17">
        <v>40</v>
      </c>
      <c r="D127" s="16"/>
      <c r="F127" s="116" t="s">
        <v>129</v>
      </c>
      <c r="G127" s="116" t="s">
        <v>130</v>
      </c>
      <c r="H127" s="116" t="s">
        <v>129</v>
      </c>
      <c r="I127" s="116" t="s">
        <v>130</v>
      </c>
    </row>
    <row r="128" spans="1:9" x14ac:dyDescent="0.25">
      <c r="F128" s="4" t="s">
        <v>21</v>
      </c>
      <c r="G128" s="4" t="s">
        <v>21</v>
      </c>
      <c r="H128" s="4" t="s">
        <v>23</v>
      </c>
      <c r="I128" s="4" t="s">
        <v>23</v>
      </c>
    </row>
    <row r="129" spans="1:9" x14ac:dyDescent="0.25">
      <c r="A129" s="120" t="s">
        <v>82</v>
      </c>
      <c r="B129" s="5" t="s">
        <v>19</v>
      </c>
      <c r="C129" s="36">
        <f>C125*C41/(10^6)</f>
        <v>15.42</v>
      </c>
      <c r="D129" s="16"/>
      <c r="F129" s="5" t="s">
        <v>1</v>
      </c>
      <c r="G129" s="5" t="s">
        <v>1</v>
      </c>
      <c r="H129" s="5" t="s">
        <v>1</v>
      </c>
      <c r="I129" s="5" t="s">
        <v>1</v>
      </c>
    </row>
    <row r="130" spans="1:9" x14ac:dyDescent="0.25">
      <c r="A130" s="120" t="s">
        <v>83</v>
      </c>
      <c r="B130" s="5" t="s">
        <v>19</v>
      </c>
      <c r="C130" s="36">
        <f>C126*C42*C21/1000</f>
        <v>3.6905142857142866E-2</v>
      </c>
      <c r="D130" s="16"/>
      <c r="F130" s="119">
        <f>C125*H41/(10^6)*$C$127</f>
        <v>1233.5999999999999</v>
      </c>
      <c r="G130" s="119">
        <f>C125*I41/(10^6)*$C$127</f>
        <v>308.39999999999998</v>
      </c>
      <c r="H130" s="119">
        <f>C126*H42*C21/1000*$C$127</f>
        <v>2.9524114285714291</v>
      </c>
      <c r="I130" s="119">
        <f>C126*I42*C21/1000*$C$127</f>
        <v>0.73810285714285728</v>
      </c>
    </row>
    <row r="131" spans="1:9" x14ac:dyDescent="0.25">
      <c r="A131" s="120" t="s">
        <v>84</v>
      </c>
      <c r="B131" s="5" t="s">
        <v>1</v>
      </c>
      <c r="C131" s="37">
        <f>C129*$C$127</f>
        <v>616.79999999999995</v>
      </c>
      <c r="D131" s="16"/>
    </row>
    <row r="132" spans="1:9" x14ac:dyDescent="0.25">
      <c r="A132" s="120" t="s">
        <v>85</v>
      </c>
      <c r="B132" s="5" t="s">
        <v>1</v>
      </c>
      <c r="C132" s="37">
        <f>C130*$C$127</f>
        <v>1.4762057142857146</v>
      </c>
      <c r="D132" s="16"/>
    </row>
  </sheetData>
  <mergeCells count="12">
    <mergeCell ref="F126:I126"/>
    <mergeCell ref="A123:F123"/>
    <mergeCell ref="A1:F1"/>
    <mergeCell ref="A4:F4"/>
    <mergeCell ref="A48:F48"/>
    <mergeCell ref="A105:F105"/>
    <mergeCell ref="A37:D37"/>
    <mergeCell ref="E37:I37"/>
    <mergeCell ref="H12:I12"/>
    <mergeCell ref="H13:I13"/>
    <mergeCell ref="A59:H59"/>
    <mergeCell ref="B63:C63"/>
  </mergeCells>
  <dataValidations count="2">
    <dataValidation showInputMessage="1" showErrorMessage="1" sqref="C7:C9 F17:F21 C40:C46 C17:C21 C51:C55 I10 H40:I45 C26 C28:C29 C34:C35 C116:C122 H6:I7 C108:C113" xr:uid="{028A789C-13FC-4BA8-BD35-406333530ABA}"/>
    <dataValidation showInputMessage="1" showErrorMessage="1" errorTitle="Error" error="Debe elegir un modelo" promptTitle="Seleccionar" sqref="D34:D35 G17:G21 D51:D52 E19 D28 D41:D46 D26 J7 D7:D9 E17 D23 D116:D122 D18:D21 D108:D110 D112:D113" xr:uid="{192A9A90-5B5C-45E1-8D25-5967310D923C}"/>
  </dataValidations>
  <hyperlinks>
    <hyperlink ref="D55" r:id="rId1" xr:uid="{4C6CDBA4-B655-4E8C-B7B6-23DEE7E9BA6A}"/>
    <hyperlink ref="E34" r:id="rId2" xr:uid="{4E54D578-37A3-4FF3-A651-B565555158C9}"/>
    <hyperlink ref="E35" r:id="rId3" xr:uid="{0A8FD12B-4F3E-406D-A106-9F5C7E2A70B0}"/>
    <hyperlink ref="D53" r:id="rId4" xr:uid="{545FD146-F08E-416F-BB47-F1E7B6F4A801}"/>
    <hyperlink ref="D54" r:id="rId5" xr:uid="{AA92489E-A14E-4786-AC48-E0C93701D01D}"/>
    <hyperlink ref="E9" r:id="rId6" xr:uid="{5D6113D9-2422-4873-8625-E481082D1B2B}"/>
    <hyperlink ref="E40" r:id="rId7" xr:uid="{BDDF7D0C-0135-444F-8F33-8CB2DEBE2822}"/>
    <hyperlink ref="E7" r:id="rId8" xr:uid="{42C9600A-4D6F-4F4E-AE73-AB6868E76F59}"/>
    <hyperlink ref="E8" r:id="rId9" xr:uid="{19F6228E-6395-48A7-A6F3-20B38AC81559}"/>
    <hyperlink ref="D22" r:id="rId10" xr:uid="{4BE44E3E-F151-41FC-ADC5-46D52634C884}"/>
    <hyperlink ref="D10" r:id="rId11" xr:uid="{B9174D38-305E-49C4-B249-05C53F8FA290}"/>
    <hyperlink ref="D20" r:id="rId12" xr:uid="{A50EB80B-9B45-4403-ADF1-23193804E795}"/>
    <hyperlink ref="E17" r:id="rId13" xr:uid="{8DFCA9BD-3827-4D88-936E-24DC0303C2A0}"/>
    <hyperlink ref="D26" r:id="rId14" location="D[A:cargador%20para%20moto%20electrica%20veems]" xr:uid="{4299552E-57C5-4E5B-9E69-85CB9BE8B4D6}"/>
    <hyperlink ref="D21" r:id="rId15" xr:uid="{36CFA8FD-6DC7-4D38-AE07-30F151903D53}"/>
    <hyperlink ref="C103" r:id="rId16" xr:uid="{E511269F-3F9B-4473-9D2B-A4805989B367}"/>
    <hyperlink ref="C102" r:id="rId17" display="Ancap 2021 " xr:uid="{B004DD26-1CA4-4D2F-99EA-70F2525F5CE0}"/>
  </hyperlinks>
  <pageMargins left="0.7" right="0.7" top="0.75" bottom="0.75" header="0.3" footer="0.3"/>
  <pageSetup orientation="portrait" r:id="rId18"/>
  <ignoredErrors>
    <ignoredError sqref="I7" formula="1"/>
  </ignoredErrors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P162"/>
  <sheetViews>
    <sheetView tabSelected="1" topLeftCell="A43" zoomScaleNormal="100" workbookViewId="0">
      <selection sqref="A1:F1"/>
    </sheetView>
  </sheetViews>
  <sheetFormatPr baseColWidth="10" defaultColWidth="10.85546875" defaultRowHeight="13.5" x14ac:dyDescent="0.25"/>
  <cols>
    <col min="1" max="1" width="21" style="2" customWidth="1"/>
    <col min="2" max="2" width="32.42578125" style="2" customWidth="1"/>
    <col min="3" max="3" width="13.85546875" style="2" customWidth="1"/>
    <col min="4" max="4" width="14.42578125" style="2" customWidth="1"/>
    <col min="5" max="5" width="19.28515625" style="2" bestFit="1" customWidth="1"/>
    <col min="6" max="7" width="14.42578125" style="2" customWidth="1"/>
    <col min="8" max="8" width="13.85546875" style="2" customWidth="1"/>
    <col min="9" max="9" width="10.85546875" style="2"/>
    <col min="10" max="10" width="15.140625" style="2" customWidth="1"/>
    <col min="11" max="11" width="30.42578125" style="2" bestFit="1" customWidth="1"/>
    <col min="12" max="15" width="14.28515625" style="2" customWidth="1"/>
    <col min="16" max="16384" width="10.85546875" style="2"/>
  </cols>
  <sheetData>
    <row r="1" spans="1:8" x14ac:dyDescent="0.25">
      <c r="A1" s="245" t="s">
        <v>98</v>
      </c>
      <c r="B1" s="245"/>
      <c r="C1" s="245"/>
      <c r="D1" s="245"/>
      <c r="E1" s="245"/>
      <c r="F1" s="245"/>
      <c r="G1" s="53"/>
      <c r="H1" s="53"/>
    </row>
    <row r="2" spans="1:8" x14ac:dyDescent="0.25">
      <c r="C2" s="29" t="s">
        <v>74</v>
      </c>
      <c r="D2" s="103" t="s">
        <v>99</v>
      </c>
      <c r="E2" s="30" t="s">
        <v>139</v>
      </c>
      <c r="F2" s="30" t="s">
        <v>99</v>
      </c>
      <c r="G2" s="51"/>
    </row>
    <row r="3" spans="1:8" x14ac:dyDescent="0.25">
      <c r="B3" s="62"/>
      <c r="C3" s="71"/>
      <c r="E3" s="71"/>
      <c r="F3" s="21"/>
      <c r="G3" s="21"/>
    </row>
    <row r="4" spans="1:8" x14ac:dyDescent="0.25">
      <c r="A4" s="246" t="s">
        <v>16</v>
      </c>
      <c r="B4" s="19" t="s">
        <v>155</v>
      </c>
      <c r="C4" s="27">
        <f>Parametros!C7</f>
        <v>1500</v>
      </c>
      <c r="D4" s="42">
        <f ca="1">C4/($C$15)</f>
        <v>0.22935922603583273</v>
      </c>
      <c r="E4" s="28">
        <f>Parametros!C17</f>
        <v>3000</v>
      </c>
      <c r="F4" s="59">
        <f t="shared" ref="F4:F9" ca="1" si="0">E4/($E$15)</f>
        <v>0.66692560739160922</v>
      </c>
      <c r="G4" s="52"/>
    </row>
    <row r="5" spans="1:8" x14ac:dyDescent="0.25">
      <c r="A5" s="247"/>
      <c r="B5" s="22" t="s">
        <v>49</v>
      </c>
      <c r="C5" s="23">
        <v>0</v>
      </c>
      <c r="D5" s="40">
        <f ca="1">C5/($C$15)</f>
        <v>0</v>
      </c>
      <c r="E5" s="24">
        <f>Parametros!C26</f>
        <v>50</v>
      </c>
      <c r="F5" s="60">
        <f t="shared" ca="1" si="0"/>
        <v>1.1115426789860154E-2</v>
      </c>
      <c r="G5" s="52"/>
    </row>
    <row r="6" spans="1:8" x14ac:dyDescent="0.25">
      <c r="A6" s="248"/>
      <c r="B6" s="20" t="s">
        <v>100</v>
      </c>
      <c r="C6" s="23">
        <v>0</v>
      </c>
      <c r="D6" s="40">
        <f ca="1">C6/($C$15)</f>
        <v>0</v>
      </c>
      <c r="E6" s="24">
        <f>(Parametros!$C$27*Parametros!$C$18*(1-Parametros!$C$34))*0</f>
        <v>0</v>
      </c>
      <c r="F6" s="60">
        <f t="shared" ca="1" si="0"/>
        <v>0</v>
      </c>
      <c r="G6" s="52"/>
    </row>
    <row r="7" spans="1:8" x14ac:dyDescent="0.25">
      <c r="A7" s="246" t="s">
        <v>17</v>
      </c>
      <c r="B7" s="19" t="s">
        <v>76</v>
      </c>
      <c r="C7" s="27">
        <f>Parametros!$C$108*C4</f>
        <v>75</v>
      </c>
      <c r="D7" s="42">
        <f ca="1">C7/($C$15)</f>
        <v>1.1467961301791636E-2</v>
      </c>
      <c r="E7" s="28">
        <f>Parametros!$C$116*E4</f>
        <v>150</v>
      </c>
      <c r="F7" s="59">
        <f t="shared" ca="1" si="0"/>
        <v>3.3346280369580462E-2</v>
      </c>
      <c r="G7" s="52"/>
    </row>
    <row r="8" spans="1:8" x14ac:dyDescent="0.25">
      <c r="A8" s="247"/>
      <c r="B8" s="104" t="s">
        <v>31</v>
      </c>
      <c r="C8" s="23">
        <f>C4*Parametros!$C$109</f>
        <v>345</v>
      </c>
      <c r="D8" s="40">
        <f ca="1">C8/($C$15)</f>
        <v>5.2752621988241523E-2</v>
      </c>
      <c r="E8" s="24">
        <f>E4*Parametros!$C$117</f>
        <v>0</v>
      </c>
      <c r="F8" s="60">
        <f t="shared" ca="1" si="0"/>
        <v>0</v>
      </c>
      <c r="G8" s="52"/>
    </row>
    <row r="9" spans="1:8" x14ac:dyDescent="0.25">
      <c r="A9" s="247"/>
      <c r="B9" s="104" t="s">
        <v>77</v>
      </c>
      <c r="C9" s="23">
        <f>Parametros!$C$110*C4</f>
        <v>330</v>
      </c>
      <c r="D9" s="40">
        <f t="shared" ref="D9:D11" ca="1" si="1">C9/($C$15)</f>
        <v>5.0459029727883201E-2</v>
      </c>
      <c r="E9" s="24">
        <f>Parametros!$C$118*E4</f>
        <v>660</v>
      </c>
      <c r="F9" s="60">
        <f t="shared" ca="1" si="0"/>
        <v>0.14672363362615404</v>
      </c>
      <c r="G9" s="52"/>
    </row>
    <row r="10" spans="1:8" x14ac:dyDescent="0.25">
      <c r="A10" s="247"/>
      <c r="B10" s="104" t="s">
        <v>30</v>
      </c>
      <c r="C10" s="23">
        <f>Parametros!$C$111*C4</f>
        <v>246.75</v>
      </c>
      <c r="D10" s="40">
        <f t="shared" ca="1" si="1"/>
        <v>3.7729592682894483E-2</v>
      </c>
      <c r="E10" s="24">
        <f>Parametros!$C$119*E4</f>
        <v>34.5</v>
      </c>
      <c r="F10" s="60">
        <f t="shared" ref="F10:F11" ca="1" si="2">E10/($E$15)</f>
        <v>7.6696444850035059E-3</v>
      </c>
      <c r="G10" s="52"/>
    </row>
    <row r="11" spans="1:8" x14ac:dyDescent="0.25">
      <c r="A11" s="247"/>
      <c r="B11" s="104" t="s">
        <v>136</v>
      </c>
      <c r="C11" s="23">
        <f>Parametros!$C$112*C4+(Parametros!$C$113*C4*(Parametros!$C$8-1))</f>
        <v>412.5</v>
      </c>
      <c r="D11" s="40">
        <f t="shared" ca="1" si="1"/>
        <v>6.3073787159853997E-2</v>
      </c>
      <c r="E11" s="24">
        <f>Parametros!$C$120*E4+(Parametros!$C$121*E4*(Parametros!$C$8-1))</f>
        <v>0</v>
      </c>
      <c r="F11" s="60">
        <f t="shared" ca="1" si="2"/>
        <v>0</v>
      </c>
      <c r="G11" s="52"/>
    </row>
    <row r="12" spans="1:8" x14ac:dyDescent="0.25">
      <c r="A12" s="248"/>
      <c r="B12" s="20" t="s">
        <v>101</v>
      </c>
      <c r="C12" s="25">
        <f>-CUMIPMT(Parametros!$C$53,Parametros!$C$52,SUM(CTP!$C$4,CTP!$C$7:$C$10),1,3,0)</f>
        <v>331.38640136478307</v>
      </c>
      <c r="D12" s="41">
        <f ca="1">C12/($C$15)</f>
        <v>5.0671019023884309E-2</v>
      </c>
      <c r="E12" s="24">
        <f>-CUMIPMT(Parametros!$C$54,Parametros!$C$52,SUM(CTP!$E$4,CTP!$E$7:$E$10),1,3,0)</f>
        <v>458.32616587018902</v>
      </c>
      <c r="F12" s="61">
        <f ca="1">E12/($E$15)</f>
        <v>0.10188981885214775</v>
      </c>
      <c r="G12" s="52"/>
    </row>
    <row r="13" spans="1:8" x14ac:dyDescent="0.25">
      <c r="A13" s="246" t="s">
        <v>18</v>
      </c>
      <c r="B13" s="104" t="s">
        <v>40</v>
      </c>
      <c r="C13" s="23">
        <f>(Parametros!C10)*Parametros!$C$41</f>
        <v>60</v>
      </c>
      <c r="D13" s="40">
        <f ca="1">C13/($C$15)</f>
        <v>9.1743690414333081E-3</v>
      </c>
      <c r="E13" s="28">
        <f>Parametros!$C$42*(Parametros!C22)</f>
        <v>42</v>
      </c>
      <c r="F13" s="60">
        <f ca="1">E13/($E$15)</f>
        <v>9.3369585034825293E-3</v>
      </c>
      <c r="G13" s="52"/>
    </row>
    <row r="14" spans="1:8" x14ac:dyDescent="0.25">
      <c r="A14" s="248"/>
      <c r="B14" s="20" t="s">
        <v>102</v>
      </c>
      <c r="C14" s="25">
        <f ca="1">SUM(Parametros!$E$72:OFFSET(Parametros!$E$72,Parametros!$C$8-1,0))</f>
        <v>3239.3228840125385</v>
      </c>
      <c r="D14" s="41">
        <f ca="1">C14/($C$15)</f>
        <v>0.49531239303818492</v>
      </c>
      <c r="E14" s="26">
        <f ca="1">SUM(Parametros!$F$72:OFFSET(Parametros!$F$72,Parametros!$C$19-1,0))</f>
        <v>103.42666285714286</v>
      </c>
      <c r="F14" s="61">
        <f ca="1">E14/($E$15)</f>
        <v>2.2992629982162397E-2</v>
      </c>
      <c r="G14" s="52"/>
    </row>
    <row r="15" spans="1:8" x14ac:dyDescent="0.25">
      <c r="A15" s="70"/>
      <c r="B15" s="62" t="s">
        <v>22</v>
      </c>
      <c r="C15" s="63">
        <f ca="1">SUM(C4:C14)</f>
        <v>6539.9592853773211</v>
      </c>
      <c r="D15" s="56"/>
      <c r="E15" s="63">
        <f ca="1">SUM(E4:E14)</f>
        <v>4498.2528287273317</v>
      </c>
      <c r="F15" s="56"/>
      <c r="G15" s="52"/>
    </row>
    <row r="16" spans="1:8" x14ac:dyDescent="0.25">
      <c r="A16" s="70"/>
      <c r="B16" s="62"/>
      <c r="C16" s="63">
        <f ca="1">C15/Parametros!$C$8</f>
        <v>1089.9932142295536</v>
      </c>
      <c r="D16" s="56" t="s">
        <v>110</v>
      </c>
      <c r="E16" s="63">
        <f ca="1">E15/Parametros!$C$19</f>
        <v>749.70880478788865</v>
      </c>
      <c r="F16" s="56" t="s">
        <v>110</v>
      </c>
      <c r="G16" s="52"/>
    </row>
    <row r="17" spans="1:8" x14ac:dyDescent="0.25">
      <c r="A17" s="64" t="s">
        <v>103</v>
      </c>
      <c r="B17" s="65" t="s">
        <v>104</v>
      </c>
      <c r="C17" s="66">
        <f>Parametros!C131</f>
        <v>616.79999999999995</v>
      </c>
      <c r="D17" s="67"/>
      <c r="E17" s="68">
        <f>Parametros!C132</f>
        <v>1.4762057142857146</v>
      </c>
      <c r="F17" s="69"/>
      <c r="G17" s="52"/>
    </row>
    <row r="18" spans="1:8" x14ac:dyDescent="0.25">
      <c r="B18" s="106" t="s">
        <v>22</v>
      </c>
      <c r="C18" s="63">
        <f ca="1">C17+C15</f>
        <v>7156.7592853773212</v>
      </c>
      <c r="D18" s="56"/>
      <c r="E18" s="63">
        <f ca="1">E17+E15</f>
        <v>4499.7290344416178</v>
      </c>
      <c r="F18" s="56"/>
      <c r="G18" s="21"/>
      <c r="H18" s="21"/>
    </row>
    <row r="19" spans="1:8" x14ac:dyDescent="0.25">
      <c r="B19" s="106"/>
      <c r="C19" s="63">
        <f ca="1">C18/Parametros!$C$8</f>
        <v>1192.7932142295535</v>
      </c>
      <c r="D19" s="56" t="s">
        <v>110</v>
      </c>
      <c r="E19" s="63">
        <f ca="1">E18/Parametros!$C$19</f>
        <v>749.95483907360301</v>
      </c>
      <c r="F19" s="56" t="s">
        <v>110</v>
      </c>
    </row>
    <row r="20" spans="1:8" ht="16.5" x14ac:dyDescent="0.3">
      <c r="A20" s="244" t="s">
        <v>105</v>
      </c>
      <c r="B20" s="244"/>
      <c r="C20" s="130">
        <f ca="1">SUM(C4:C14)</f>
        <v>6539.9592853773211</v>
      </c>
      <c r="D20" s="32"/>
      <c r="E20" s="43">
        <f ca="1">SUM(E4:E14)</f>
        <v>4498.2528287273317</v>
      </c>
      <c r="F20" s="33"/>
    </row>
    <row r="21" spans="1:8" ht="16.5" x14ac:dyDescent="0.3">
      <c r="A21" s="244" t="s">
        <v>106</v>
      </c>
      <c r="B21" s="244"/>
      <c r="C21" s="34">
        <f ca="1">C20/Parametros!C41</f>
        <v>0.10899932142295535</v>
      </c>
      <c r="D21" s="34"/>
      <c r="E21" s="35">
        <f ca="1">E20/Parametros!C42</f>
        <v>7.4970880478788859E-2</v>
      </c>
      <c r="F21" s="33"/>
    </row>
    <row r="22" spans="1:8" ht="16.5" x14ac:dyDescent="0.3">
      <c r="A22" s="244" t="s">
        <v>107</v>
      </c>
      <c r="B22" s="244"/>
      <c r="C22" s="34"/>
      <c r="D22" s="34"/>
      <c r="E22" s="33"/>
      <c r="F22" s="35"/>
    </row>
    <row r="24" spans="1:8" ht="16.5" x14ac:dyDescent="0.3">
      <c r="A24" s="244" t="s">
        <v>108</v>
      </c>
      <c r="B24" s="244"/>
      <c r="C24" s="130">
        <f ca="1">C18</f>
        <v>7156.7592853773212</v>
      </c>
      <c r="D24" s="32"/>
      <c r="E24" s="43">
        <f ca="1">E18</f>
        <v>4499.7290344416178</v>
      </c>
      <c r="F24" s="33"/>
    </row>
    <row r="25" spans="1:8" ht="16.5" x14ac:dyDescent="0.3">
      <c r="A25" s="244" t="s">
        <v>109</v>
      </c>
      <c r="B25" s="244"/>
      <c r="C25" s="100">
        <f ca="1">C24/Parametros!C41</f>
        <v>0.11927932142295536</v>
      </c>
      <c r="D25" s="34"/>
      <c r="E25" s="122">
        <f ca="1">E24/Parametros!C42</f>
        <v>7.49954839073603E-2</v>
      </c>
      <c r="F25" s="101">
        <f ca="1">C25-E25</f>
        <v>4.4283837515595059E-2</v>
      </c>
    </row>
    <row r="26" spans="1:8" ht="16.5" x14ac:dyDescent="0.3">
      <c r="A26" s="244" t="s">
        <v>107</v>
      </c>
      <c r="B26" s="244"/>
      <c r="C26" s="34"/>
      <c r="D26" s="34"/>
      <c r="E26" s="33"/>
      <c r="F26" s="35"/>
    </row>
    <row r="28" spans="1:8" ht="16.5" x14ac:dyDescent="0.3">
      <c r="A28" s="244" t="s">
        <v>126</v>
      </c>
      <c r="B28" s="244"/>
      <c r="C28" s="31">
        <v>0</v>
      </c>
      <c r="D28" s="32"/>
      <c r="E28" s="95">
        <v>0</v>
      </c>
      <c r="F28" s="33"/>
    </row>
    <row r="29" spans="1:8" ht="16.5" x14ac:dyDescent="0.3">
      <c r="A29" s="244" t="s">
        <v>127</v>
      </c>
      <c r="B29" s="244"/>
      <c r="C29" s="96">
        <v>0</v>
      </c>
      <c r="D29" s="97"/>
      <c r="E29" s="95">
        <f>Parametros!$C$109*E4+(Parametros!$C$111-Parametros!$C$119)*E4+Parametros!$C$111*E4+(Parametros!$C$112*E4*(Parametros!$C$8-1))</f>
        <v>2392.5</v>
      </c>
      <c r="F29" s="98"/>
    </row>
    <row r="31" spans="1:8" x14ac:dyDescent="0.25">
      <c r="A31" s="245" t="s">
        <v>111</v>
      </c>
      <c r="B31" s="245"/>
      <c r="C31" s="245"/>
      <c r="D31" s="245"/>
      <c r="E31" s="245"/>
      <c r="F31" s="245"/>
      <c r="G31" s="53"/>
      <c r="H31" s="53"/>
    </row>
    <row r="32" spans="1:8" x14ac:dyDescent="0.25">
      <c r="C32" s="29" t="s">
        <v>74</v>
      </c>
      <c r="D32" s="30" t="s">
        <v>139</v>
      </c>
    </row>
    <row r="33" spans="1:14" ht="14.25" thickBot="1" x14ac:dyDescent="0.3">
      <c r="B33" s="18"/>
      <c r="C33" s="21"/>
      <c r="D33" s="21"/>
      <c r="E33" s="4">
        <v>2021</v>
      </c>
      <c r="F33" s="4" t="s">
        <v>21</v>
      </c>
      <c r="G33" s="4" t="s">
        <v>23</v>
      </c>
      <c r="H33" s="4" t="s">
        <v>128</v>
      </c>
    </row>
    <row r="34" spans="1:14" x14ac:dyDescent="0.25">
      <c r="A34" s="246" t="s">
        <v>16</v>
      </c>
      <c r="B34" s="19" t="s">
        <v>155</v>
      </c>
      <c r="C34" s="46">
        <f>C4/Parametros!$C$41</f>
        <v>2.5000000000000001E-2</v>
      </c>
      <c r="D34" s="75">
        <f>E4/Parametros!$C$42</f>
        <v>0.05</v>
      </c>
      <c r="E34" s="15" t="s">
        <v>112</v>
      </c>
      <c r="F34" s="56">
        <f>SUM(C4:C7)</f>
        <v>1575</v>
      </c>
      <c r="G34" s="56">
        <f>SUM(E4:E7)</f>
        <v>3200</v>
      </c>
      <c r="H34" s="83">
        <f>G34/F34</f>
        <v>2.0317460317460316</v>
      </c>
    </row>
    <row r="35" spans="1:14" x14ac:dyDescent="0.25">
      <c r="A35" s="247"/>
      <c r="B35" s="22" t="s">
        <v>49</v>
      </c>
      <c r="C35" s="123">
        <f>C5/Parametros!$C$41</f>
        <v>0</v>
      </c>
      <c r="D35" s="124">
        <f>E5/Parametros!$C$42</f>
        <v>8.3333333333333339E-4</v>
      </c>
      <c r="E35" s="15" t="s">
        <v>113</v>
      </c>
      <c r="F35" s="56">
        <f>F34-F36</f>
        <v>1102.5</v>
      </c>
      <c r="G35" s="56">
        <f>G34-G36</f>
        <v>2205</v>
      </c>
      <c r="H35" s="83">
        <f t="shared" ref="H35" si="3">G35/F35</f>
        <v>2</v>
      </c>
    </row>
    <row r="36" spans="1:14" x14ac:dyDescent="0.25">
      <c r="A36" s="248"/>
      <c r="B36" s="20" t="s">
        <v>100</v>
      </c>
      <c r="C36" s="123">
        <f>C6/Parametros!$C$41</f>
        <v>0</v>
      </c>
      <c r="D36" s="124">
        <f>E6/Parametros!$C$42</f>
        <v>0</v>
      </c>
      <c r="E36" s="15" t="s">
        <v>37</v>
      </c>
      <c r="F36" s="99">
        <f>(1-Parametros!$C$51)*(C4+C7)+C5+C6</f>
        <v>472.50000000000006</v>
      </c>
      <c r="G36" s="99">
        <f>(1-Parametros!$C$51)*(E4+E7)+E5</f>
        <v>995.00000000000011</v>
      </c>
      <c r="H36" s="83">
        <f>G36/F36</f>
        <v>2.1058201058201056</v>
      </c>
    </row>
    <row r="37" spans="1:14" x14ac:dyDescent="0.25">
      <c r="A37" s="246" t="s">
        <v>17</v>
      </c>
      <c r="B37" s="19" t="s">
        <v>76</v>
      </c>
      <c r="C37" s="125">
        <f>C7/Parametros!$C$41</f>
        <v>1.25E-3</v>
      </c>
      <c r="D37" s="126">
        <f>E7/Parametros!$C$42</f>
        <v>2.5000000000000001E-3</v>
      </c>
    </row>
    <row r="38" spans="1:14" x14ac:dyDescent="0.25">
      <c r="A38" s="247"/>
      <c r="B38" s="104" t="s">
        <v>31</v>
      </c>
      <c r="C38" s="123">
        <f>C8/Parametros!$C$41</f>
        <v>5.7499999999999999E-3</v>
      </c>
      <c r="D38" s="124">
        <f>E8/Parametros!$C$42</f>
        <v>0</v>
      </c>
    </row>
    <row r="39" spans="1:14" x14ac:dyDescent="0.25">
      <c r="A39" s="247"/>
      <c r="B39" s="104" t="s">
        <v>77</v>
      </c>
      <c r="C39" s="123">
        <f>C9/Parametros!$C$41</f>
        <v>5.4999999999999997E-3</v>
      </c>
      <c r="D39" s="124">
        <f>E9/Parametros!$C$42</f>
        <v>1.0999999999999999E-2</v>
      </c>
    </row>
    <row r="40" spans="1:14" x14ac:dyDescent="0.25">
      <c r="A40" s="247"/>
      <c r="B40" s="104" t="s">
        <v>30</v>
      </c>
      <c r="C40" s="123">
        <f>C10/Parametros!$C$41</f>
        <v>4.1124999999999998E-3</v>
      </c>
      <c r="D40" s="124">
        <f>E10/Parametros!$C$42</f>
        <v>5.7499999999999999E-4</v>
      </c>
    </row>
    <row r="41" spans="1:14" x14ac:dyDescent="0.25">
      <c r="A41" s="247"/>
      <c r="B41" s="104" t="s">
        <v>136</v>
      </c>
      <c r="C41" s="123">
        <f>C11/Parametros!$C$41</f>
        <v>6.875E-3</v>
      </c>
      <c r="D41" s="124">
        <f>E11/Parametros!$C$42</f>
        <v>0</v>
      </c>
    </row>
    <row r="42" spans="1:14" x14ac:dyDescent="0.25">
      <c r="A42" s="248"/>
      <c r="B42" s="20" t="s">
        <v>101</v>
      </c>
      <c r="C42" s="123">
        <f>C12/Parametros!$C$41</f>
        <v>5.5231066894130508E-3</v>
      </c>
      <c r="D42" s="124">
        <f>E12/Parametros!$C$42</f>
        <v>7.638769431169817E-3</v>
      </c>
      <c r="N42" s="2" t="s">
        <v>159</v>
      </c>
    </row>
    <row r="43" spans="1:14" x14ac:dyDescent="0.25">
      <c r="A43" s="246" t="s">
        <v>18</v>
      </c>
      <c r="B43" s="104" t="s">
        <v>40</v>
      </c>
      <c r="C43" s="125">
        <f>C13/Parametros!$C$41</f>
        <v>1E-3</v>
      </c>
      <c r="D43" s="126">
        <f>E13/Parametros!$C$42</f>
        <v>6.9999999999999999E-4</v>
      </c>
    </row>
    <row r="44" spans="1:14" ht="14.25" thickBot="1" x14ac:dyDescent="0.3">
      <c r="A44" s="248"/>
      <c r="B44" s="20" t="s">
        <v>102</v>
      </c>
      <c r="C44" s="127">
        <f ca="1">C14/Parametros!$C$41</f>
        <v>5.398871473354231E-2</v>
      </c>
      <c r="D44" s="128">
        <f ca="1">E14/Parametros!$C$42</f>
        <v>1.7237777142857142E-3</v>
      </c>
    </row>
    <row r="45" spans="1:14" x14ac:dyDescent="0.25">
      <c r="A45" s="64" t="s">
        <v>103</v>
      </c>
      <c r="B45" s="65" t="s">
        <v>104</v>
      </c>
      <c r="C45" s="123">
        <f>C17/Parametros!$C$41</f>
        <v>1.0279999999999999E-2</v>
      </c>
      <c r="D45" s="129">
        <f>E17/Parametros!$C$42</f>
        <v>2.4603428571428578E-5</v>
      </c>
    </row>
    <row r="88" spans="1:8" s="57" customFormat="1" x14ac:dyDescent="0.25">
      <c r="A88" s="58" t="s">
        <v>114</v>
      </c>
    </row>
    <row r="89" spans="1:8" x14ac:dyDescent="0.25">
      <c r="A89" s="245" t="s">
        <v>98</v>
      </c>
      <c r="B89" s="245"/>
      <c r="C89" s="245"/>
      <c r="D89" s="245"/>
      <c r="E89" s="245"/>
      <c r="F89" s="245"/>
      <c r="G89" s="53"/>
      <c r="H89" s="53"/>
    </row>
    <row r="90" spans="1:8" ht="27" x14ac:dyDescent="0.25">
      <c r="C90" s="103" t="s">
        <v>140</v>
      </c>
      <c r="D90" s="103" t="s">
        <v>141</v>
      </c>
      <c r="E90" s="131" t="s">
        <v>142</v>
      </c>
      <c r="F90" s="131" t="s">
        <v>143</v>
      </c>
      <c r="G90" s="51"/>
      <c r="H90" s="51"/>
    </row>
    <row r="91" spans="1:8" ht="14.25" thickBot="1" x14ac:dyDescent="0.3">
      <c r="B91" s="18"/>
      <c r="C91" s="21"/>
      <c r="D91" s="21"/>
      <c r="E91" s="21"/>
      <c r="F91" s="21"/>
      <c r="G91" s="21"/>
      <c r="H91" s="21"/>
    </row>
    <row r="92" spans="1:8" x14ac:dyDescent="0.25">
      <c r="A92" s="246" t="s">
        <v>16</v>
      </c>
      <c r="B92" s="19" t="s">
        <v>28</v>
      </c>
      <c r="C92" s="38">
        <f>C4</f>
        <v>1500</v>
      </c>
      <c r="D92" s="38">
        <f>C92</f>
        <v>1500</v>
      </c>
      <c r="E92" s="39">
        <f>E4</f>
        <v>3000</v>
      </c>
      <c r="F92" s="39">
        <f>E92</f>
        <v>3000</v>
      </c>
      <c r="G92" s="52"/>
      <c r="H92" s="52"/>
    </row>
    <row r="93" spans="1:8" x14ac:dyDescent="0.25">
      <c r="A93" s="247"/>
      <c r="B93" s="22" t="s">
        <v>49</v>
      </c>
      <c r="C93" s="23">
        <f>C5</f>
        <v>0</v>
      </c>
      <c r="D93" s="23">
        <f t="shared" ref="D93:D100" si="4">C93</f>
        <v>0</v>
      </c>
      <c r="E93" s="24">
        <f>E5</f>
        <v>50</v>
      </c>
      <c r="F93" s="24">
        <f>E93</f>
        <v>50</v>
      </c>
      <c r="G93" s="52"/>
      <c r="H93" s="52"/>
    </row>
    <row r="94" spans="1:8" x14ac:dyDescent="0.25">
      <c r="A94" s="248"/>
      <c r="B94" s="20" t="s">
        <v>100</v>
      </c>
      <c r="C94" s="23">
        <v>0</v>
      </c>
      <c r="D94" s="23">
        <v>0</v>
      </c>
      <c r="E94" s="24">
        <f>Parametros!$C$27*Parametros!$C$18*(1-Parametros!$C$34)</f>
        <v>0</v>
      </c>
      <c r="F94" s="24">
        <f>Parametros!$C$27*Parametros!$C$18*(1-Parametros!$C$34)</f>
        <v>0</v>
      </c>
      <c r="G94" s="52"/>
      <c r="H94" s="52"/>
    </row>
    <row r="95" spans="1:8" x14ac:dyDescent="0.25">
      <c r="A95" s="246" t="s">
        <v>17</v>
      </c>
      <c r="B95" s="19" t="s">
        <v>76</v>
      </c>
      <c r="C95" s="27">
        <f>C7</f>
        <v>75</v>
      </c>
      <c r="D95" s="27">
        <f t="shared" si="4"/>
        <v>75</v>
      </c>
      <c r="E95" s="28">
        <f>E7</f>
        <v>150</v>
      </c>
      <c r="F95" s="72">
        <f t="shared" ref="F95:F100" si="5">E95</f>
        <v>150</v>
      </c>
      <c r="G95" s="52"/>
      <c r="H95" s="52"/>
    </row>
    <row r="96" spans="1:8" x14ac:dyDescent="0.25">
      <c r="A96" s="247"/>
      <c r="B96" s="104" t="s">
        <v>31</v>
      </c>
      <c r="C96" s="23">
        <f>C8</f>
        <v>345</v>
      </c>
      <c r="D96" s="23">
        <f>C96</f>
        <v>345</v>
      </c>
      <c r="E96" s="24">
        <f>E8</f>
        <v>0</v>
      </c>
      <c r="F96" s="73">
        <f t="shared" si="5"/>
        <v>0</v>
      </c>
      <c r="G96" s="52"/>
      <c r="H96" s="52"/>
    </row>
    <row r="97" spans="1:8" x14ac:dyDescent="0.25">
      <c r="A97" s="247"/>
      <c r="B97" s="104" t="s">
        <v>77</v>
      </c>
      <c r="C97" s="23">
        <f t="shared" ref="C97:C99" si="6">C9</f>
        <v>330</v>
      </c>
      <c r="D97" s="23">
        <f t="shared" ref="D97:D99" si="7">C97</f>
        <v>330</v>
      </c>
      <c r="E97" s="24">
        <f t="shared" ref="E97:E98" si="8">E9</f>
        <v>660</v>
      </c>
      <c r="F97" s="73">
        <f t="shared" ref="F97:F99" si="9">E97</f>
        <v>660</v>
      </c>
      <c r="G97" s="52"/>
      <c r="H97" s="52"/>
    </row>
    <row r="98" spans="1:8" x14ac:dyDescent="0.25">
      <c r="A98" s="247"/>
      <c r="B98" s="104" t="s">
        <v>30</v>
      </c>
      <c r="C98" s="23">
        <f t="shared" si="6"/>
        <v>246.75</v>
      </c>
      <c r="D98" s="23">
        <f t="shared" si="7"/>
        <v>246.75</v>
      </c>
      <c r="E98" s="24">
        <f t="shared" si="8"/>
        <v>34.5</v>
      </c>
      <c r="F98" s="73">
        <f t="shared" si="9"/>
        <v>34.5</v>
      </c>
      <c r="G98" s="52"/>
      <c r="H98" s="52"/>
    </row>
    <row r="99" spans="1:8" x14ac:dyDescent="0.25">
      <c r="A99" s="247"/>
      <c r="B99" s="104" t="s">
        <v>136</v>
      </c>
      <c r="C99" s="23">
        <f t="shared" si="6"/>
        <v>412.5</v>
      </c>
      <c r="D99" s="23">
        <f t="shared" si="7"/>
        <v>412.5</v>
      </c>
      <c r="E99" s="24">
        <f>E11</f>
        <v>0</v>
      </c>
      <c r="F99" s="73">
        <f t="shared" si="9"/>
        <v>0</v>
      </c>
      <c r="G99" s="52"/>
      <c r="H99" s="52"/>
    </row>
    <row r="100" spans="1:8" x14ac:dyDescent="0.25">
      <c r="A100" s="248"/>
      <c r="B100" s="20" t="s">
        <v>101</v>
      </c>
      <c r="C100" s="25">
        <f>C12</f>
        <v>331.38640136478307</v>
      </c>
      <c r="D100" s="25">
        <f t="shared" si="4"/>
        <v>331.38640136478307</v>
      </c>
      <c r="E100" s="26">
        <f>E12</f>
        <v>458.32616587018902</v>
      </c>
      <c r="F100" s="74">
        <f t="shared" si="5"/>
        <v>458.32616587018902</v>
      </c>
      <c r="G100" s="52"/>
      <c r="H100" s="52"/>
    </row>
    <row r="101" spans="1:8" x14ac:dyDescent="0.25">
      <c r="A101" s="246" t="s">
        <v>18</v>
      </c>
      <c r="B101" s="104" t="s">
        <v>40</v>
      </c>
      <c r="C101" s="84">
        <f>(Parametros!C10)*Parametros!$H$41</f>
        <v>120</v>
      </c>
      <c r="D101" s="84">
        <f>(Parametros!C10)*Parametros!$I$41</f>
        <v>30</v>
      </c>
      <c r="E101" s="84">
        <f>Parametros!$H$42*(Parametros!C22)</f>
        <v>84</v>
      </c>
      <c r="F101" s="84">
        <f>Parametros!$I$42*(Parametros!C22)</f>
        <v>21</v>
      </c>
      <c r="G101" s="52"/>
      <c r="H101" s="52"/>
    </row>
    <row r="102" spans="1:8" x14ac:dyDescent="0.25">
      <c r="A102" s="248"/>
      <c r="B102" s="20" t="s">
        <v>102</v>
      </c>
      <c r="C102" s="90">
        <f ca="1">SUM(Parametros!$H$72:OFFSET(Parametros!$H$72,Parametros!$C$8-1,0))</f>
        <v>6478.6457680250769</v>
      </c>
      <c r="D102" s="90">
        <f ca="1">SUM(Parametros!$I$72:OFFSET(Parametros!$I$72,Parametros!$C$8-1,0))</f>
        <v>1619.6614420062692</v>
      </c>
      <c r="E102" s="90">
        <f ca="1">SUM(Parametros!$J$72:OFFSET(Parametros!$J$72,Parametros!$C$19-1,0))</f>
        <v>206.85332571428572</v>
      </c>
      <c r="F102" s="90">
        <f ca="1">SUM(Parametros!$K$72:OFFSET(Parametros!$K$72,Parametros!$C$19-1,0))</f>
        <v>51.713331428571429</v>
      </c>
      <c r="G102" s="52"/>
      <c r="H102" s="52"/>
    </row>
    <row r="103" spans="1:8" x14ac:dyDescent="0.25">
      <c r="A103" s="64" t="s">
        <v>103</v>
      </c>
      <c r="B103" s="65" t="s">
        <v>104</v>
      </c>
      <c r="C103" s="84">
        <f>Parametros!$F$130</f>
        <v>1233.5999999999999</v>
      </c>
      <c r="D103" s="84">
        <f>Parametros!$G$130</f>
        <v>308.39999999999998</v>
      </c>
      <c r="E103" s="84">
        <f>Parametros!$H$130</f>
        <v>2.9524114285714291</v>
      </c>
      <c r="F103" s="85">
        <f>Parametros!$I$130</f>
        <v>0.73810285714285728</v>
      </c>
      <c r="G103" s="52"/>
      <c r="H103" s="52"/>
    </row>
    <row r="104" spans="1:8" x14ac:dyDescent="0.25">
      <c r="C104" s="56">
        <f ca="1">SUM(C92:C103)</f>
        <v>11072.882169389861</v>
      </c>
      <c r="D104" s="56"/>
      <c r="E104" s="56">
        <f ca="1">SUM(E92:E103)</f>
        <v>4646.6319030130453</v>
      </c>
      <c r="G104" s="21"/>
      <c r="H104" s="21"/>
    </row>
    <row r="105" spans="1:8" ht="16.5" x14ac:dyDescent="0.3">
      <c r="A105" s="244" t="s">
        <v>105</v>
      </c>
      <c r="B105" s="244"/>
      <c r="C105" s="31">
        <f ca="1">SUM(C92:C102)</f>
        <v>9839.2821693898604</v>
      </c>
      <c r="D105" s="31">
        <f ca="1">SUM(D92:D102)</f>
        <v>4890.2978433710523</v>
      </c>
      <c r="E105" s="43">
        <f ca="1">SUM(E92:E102)</f>
        <v>4643.6794915844739</v>
      </c>
      <c r="F105" s="43">
        <f ca="1">SUM(F92:F102)</f>
        <v>4425.5394972987597</v>
      </c>
      <c r="G105" s="54"/>
      <c r="H105" s="54"/>
    </row>
    <row r="106" spans="1:8" ht="16.5" x14ac:dyDescent="0.3">
      <c r="A106" s="244" t="s">
        <v>106</v>
      </c>
      <c r="B106" s="244"/>
      <c r="C106" s="31">
        <f ca="1">C105/Parametros!$H$41</f>
        <v>8.199401807824884E-2</v>
      </c>
      <c r="D106" s="31">
        <f ca="1">D105/Parametros!$I$41</f>
        <v>0.16300992811236842</v>
      </c>
      <c r="E106" s="44">
        <f ca="1">E105/Parametros!$H$42</f>
        <v>3.8697329096537281E-2</v>
      </c>
      <c r="F106" s="44">
        <f ca="1">F105/Parametros!$I$42</f>
        <v>0.14751798324329199</v>
      </c>
      <c r="G106" s="54"/>
      <c r="H106" s="54"/>
    </row>
    <row r="107" spans="1:8" ht="16.5" x14ac:dyDescent="0.3">
      <c r="A107" s="244" t="s">
        <v>107</v>
      </c>
      <c r="B107" s="244"/>
      <c r="C107" s="34"/>
      <c r="D107" s="34"/>
      <c r="E107" s="33"/>
      <c r="F107" s="35"/>
      <c r="G107" s="55"/>
      <c r="H107" s="55"/>
    </row>
    <row r="108" spans="1:8" x14ac:dyDescent="0.25">
      <c r="G108" s="21"/>
      <c r="H108" s="21"/>
    </row>
    <row r="109" spans="1:8" ht="16.5" x14ac:dyDescent="0.3">
      <c r="A109" s="244" t="s">
        <v>108</v>
      </c>
      <c r="B109" s="244"/>
      <c r="C109" s="31">
        <f ca="1">SUM(C92:C103)</f>
        <v>11072.882169389861</v>
      </c>
      <c r="D109" s="31">
        <f ca="1">SUM(D92:D103)</f>
        <v>5198.6978433710519</v>
      </c>
      <c r="E109" s="43">
        <f ca="1">SUM(E92:E103)</f>
        <v>4646.6319030130453</v>
      </c>
      <c r="F109" s="43">
        <f ca="1">SUM(F92:F103)</f>
        <v>4426.2776001559023</v>
      </c>
      <c r="G109" s="54"/>
      <c r="H109" s="54"/>
    </row>
    <row r="110" spans="1:8" ht="16.5" x14ac:dyDescent="0.3">
      <c r="A110" s="244" t="s">
        <v>109</v>
      </c>
      <c r="B110" s="244"/>
      <c r="C110" s="31">
        <f ca="1">C109/Parametros!$H$41</f>
        <v>9.2274018078248837E-2</v>
      </c>
      <c r="D110" s="31">
        <f ca="1">D109/Parametros!$I$41</f>
        <v>0.1732899281123684</v>
      </c>
      <c r="E110" s="45">
        <f ca="1">E109/Parametros!$H$42</f>
        <v>3.8721932525108714E-2</v>
      </c>
      <c r="F110" s="45">
        <f ca="1">F109/Parametros!$I$42</f>
        <v>0.1475425866718634</v>
      </c>
      <c r="G110" s="54"/>
      <c r="H110" s="54"/>
    </row>
    <row r="111" spans="1:8" ht="16.5" x14ac:dyDescent="0.3">
      <c r="A111" s="244" t="s">
        <v>107</v>
      </c>
      <c r="B111" s="244"/>
      <c r="C111" s="34"/>
      <c r="D111" s="34"/>
      <c r="E111" s="33"/>
      <c r="F111" s="35"/>
      <c r="G111" s="55"/>
      <c r="H111" s="55"/>
    </row>
    <row r="113" spans="1:8" x14ac:dyDescent="0.25">
      <c r="A113" s="245" t="s">
        <v>111</v>
      </c>
      <c r="B113" s="245"/>
      <c r="C113" s="245"/>
      <c r="D113" s="245"/>
      <c r="E113" s="245"/>
      <c r="F113" s="245"/>
      <c r="G113" s="53"/>
      <c r="H113" s="53"/>
    </row>
    <row r="114" spans="1:8" ht="27" x14ac:dyDescent="0.25">
      <c r="C114" s="103" t="s">
        <v>144</v>
      </c>
      <c r="D114" s="103" t="s">
        <v>129</v>
      </c>
      <c r="E114" s="103" t="s">
        <v>130</v>
      </c>
      <c r="F114" s="131" t="s">
        <v>145</v>
      </c>
      <c r="G114" s="131" t="s">
        <v>129</v>
      </c>
      <c r="H114" s="131" t="s">
        <v>130</v>
      </c>
    </row>
    <row r="115" spans="1:8" ht="14.25" thickBot="1" x14ac:dyDescent="0.3">
      <c r="B115" s="18"/>
      <c r="C115" s="21"/>
      <c r="D115" s="21"/>
      <c r="E115" s="21"/>
      <c r="F115" s="21"/>
      <c r="G115" s="21"/>
      <c r="H115" s="21"/>
    </row>
    <row r="116" spans="1:8" x14ac:dyDescent="0.25">
      <c r="A116" s="246" t="s">
        <v>16</v>
      </c>
      <c r="B116" s="19" t="s">
        <v>28</v>
      </c>
      <c r="C116" s="46">
        <f>C34</f>
        <v>2.5000000000000001E-2</v>
      </c>
      <c r="D116" s="46">
        <f>C92/Parametros!$H$41</f>
        <v>1.2500000000000001E-2</v>
      </c>
      <c r="E116" s="46">
        <f>D92/Parametros!$I$41</f>
        <v>0.05</v>
      </c>
      <c r="F116" s="75">
        <f>D34</f>
        <v>0.05</v>
      </c>
      <c r="G116" s="75">
        <f>E92/Parametros!$H$42</f>
        <v>2.5000000000000001E-2</v>
      </c>
      <c r="H116" s="75">
        <f>F92/Parametros!$I$42</f>
        <v>0.1</v>
      </c>
    </row>
    <row r="117" spans="1:8" x14ac:dyDescent="0.25">
      <c r="A117" s="247"/>
      <c r="B117" s="22" t="s">
        <v>49</v>
      </c>
      <c r="C117" s="47">
        <f>C35</f>
        <v>0</v>
      </c>
      <c r="D117" s="47">
        <f>C93/Parametros!$H$41</f>
        <v>0</v>
      </c>
      <c r="E117" s="47">
        <f>D93/Parametros!$I$41</f>
        <v>0</v>
      </c>
      <c r="F117" s="76">
        <f>D35</f>
        <v>8.3333333333333339E-4</v>
      </c>
      <c r="G117" s="76">
        <f>E93/Parametros!$H$42</f>
        <v>4.1666666666666669E-4</v>
      </c>
      <c r="H117" s="76">
        <f>F93/Parametros!$I$42</f>
        <v>1.6666666666666668E-3</v>
      </c>
    </row>
    <row r="118" spans="1:8" x14ac:dyDescent="0.25">
      <c r="A118" s="248"/>
      <c r="B118" s="20" t="s">
        <v>100</v>
      </c>
      <c r="C118" s="47">
        <v>0</v>
      </c>
      <c r="D118" s="47">
        <v>0</v>
      </c>
      <c r="E118" s="47">
        <v>0</v>
      </c>
      <c r="F118" s="76">
        <f>D36</f>
        <v>0</v>
      </c>
      <c r="G118" s="76">
        <f>E94/Parametros!$H$42</f>
        <v>0</v>
      </c>
      <c r="H118" s="76">
        <f>F94/Parametros!$I$42</f>
        <v>0</v>
      </c>
    </row>
    <row r="119" spans="1:8" x14ac:dyDescent="0.25">
      <c r="A119" s="246" t="s">
        <v>17</v>
      </c>
      <c r="B119" s="19" t="s">
        <v>76</v>
      </c>
      <c r="C119" s="49">
        <f>C37</f>
        <v>1.25E-3</v>
      </c>
      <c r="D119" s="49">
        <f>C95/Parametros!$H$41</f>
        <v>6.2500000000000001E-4</v>
      </c>
      <c r="E119" s="49">
        <f>D95/Parametros!$I$41</f>
        <v>2.5000000000000001E-3</v>
      </c>
      <c r="F119" s="78">
        <f>D37</f>
        <v>2.5000000000000001E-3</v>
      </c>
      <c r="G119" s="78">
        <f>E95/Parametros!$H$42</f>
        <v>1.25E-3</v>
      </c>
      <c r="H119" s="78">
        <f>F95/Parametros!$I$42</f>
        <v>5.0000000000000001E-3</v>
      </c>
    </row>
    <row r="120" spans="1:8" x14ac:dyDescent="0.25">
      <c r="A120" s="247"/>
      <c r="B120" s="104" t="s">
        <v>31</v>
      </c>
      <c r="C120" s="47">
        <f>C38</f>
        <v>5.7499999999999999E-3</v>
      </c>
      <c r="D120" s="47">
        <f>C96/Parametros!$H$41</f>
        <v>2.875E-3</v>
      </c>
      <c r="E120" s="47">
        <f>D96/Parametros!$I$41</f>
        <v>1.15E-2</v>
      </c>
      <c r="F120" s="76">
        <f>D38</f>
        <v>0</v>
      </c>
      <c r="G120" s="76">
        <f>E96/Parametros!$H$42</f>
        <v>0</v>
      </c>
      <c r="H120" s="76">
        <f>F96/Parametros!$I$42</f>
        <v>0</v>
      </c>
    </row>
    <row r="121" spans="1:8" x14ac:dyDescent="0.25">
      <c r="A121" s="247"/>
      <c r="B121" s="104" t="s">
        <v>77</v>
      </c>
      <c r="C121" s="47">
        <f t="shared" ref="C121:C123" si="10">C39</f>
        <v>5.4999999999999997E-3</v>
      </c>
      <c r="D121" s="47">
        <f>C97/Parametros!$H$41</f>
        <v>2.7499999999999998E-3</v>
      </c>
      <c r="E121" s="47">
        <f>D97/Parametros!$I$41</f>
        <v>1.0999999999999999E-2</v>
      </c>
      <c r="F121" s="76">
        <f t="shared" ref="F121:F123" si="11">D39</f>
        <v>1.0999999999999999E-2</v>
      </c>
      <c r="G121" s="76">
        <f>E97/Parametros!$H$42</f>
        <v>5.4999999999999997E-3</v>
      </c>
      <c r="H121" s="76">
        <f>F97/Parametros!$I$42</f>
        <v>2.1999999999999999E-2</v>
      </c>
    </row>
    <row r="122" spans="1:8" x14ac:dyDescent="0.25">
      <c r="A122" s="247"/>
      <c r="B122" s="104" t="s">
        <v>30</v>
      </c>
      <c r="C122" s="47">
        <f t="shared" si="10"/>
        <v>4.1124999999999998E-3</v>
      </c>
      <c r="D122" s="47">
        <f>C98/Parametros!$H$41</f>
        <v>2.0562499999999999E-3</v>
      </c>
      <c r="E122" s="47">
        <f>D98/Parametros!$I$41</f>
        <v>8.2249999999999997E-3</v>
      </c>
      <c r="F122" s="76">
        <f t="shared" si="11"/>
        <v>5.7499999999999999E-4</v>
      </c>
      <c r="G122" s="76">
        <f>E98/Parametros!$H$42</f>
        <v>2.875E-4</v>
      </c>
      <c r="H122" s="76">
        <f>F98/Parametros!$I$42</f>
        <v>1.15E-3</v>
      </c>
    </row>
    <row r="123" spans="1:8" x14ac:dyDescent="0.25">
      <c r="A123" s="247"/>
      <c r="B123" s="104" t="s">
        <v>136</v>
      </c>
      <c r="C123" s="47">
        <f t="shared" si="10"/>
        <v>6.875E-3</v>
      </c>
      <c r="D123" s="47">
        <f>C99/Parametros!$H$41</f>
        <v>3.4375E-3</v>
      </c>
      <c r="E123" s="47">
        <f>D99/Parametros!$I$41</f>
        <v>1.375E-2</v>
      </c>
      <c r="F123" s="76">
        <f t="shared" si="11"/>
        <v>0</v>
      </c>
      <c r="G123" s="76">
        <f>E99/Parametros!$H$42</f>
        <v>0</v>
      </c>
      <c r="H123" s="76">
        <f>F99/Parametros!$I$42</f>
        <v>0</v>
      </c>
    </row>
    <row r="124" spans="1:8" x14ac:dyDescent="0.25">
      <c r="A124" s="248"/>
      <c r="B124" s="20" t="s">
        <v>101</v>
      </c>
      <c r="C124" s="48">
        <f>C42</f>
        <v>5.5231066894130508E-3</v>
      </c>
      <c r="D124" s="48">
        <f>C100/Parametros!$H$41</f>
        <v>2.7615533447065254E-3</v>
      </c>
      <c r="E124" s="48">
        <f>D100/Parametros!$I$41</f>
        <v>1.1046213378826102E-2</v>
      </c>
      <c r="F124" s="77">
        <f>D42</f>
        <v>7.638769431169817E-3</v>
      </c>
      <c r="G124" s="77">
        <f>E100/Parametros!$H$42</f>
        <v>3.8193847155849085E-3</v>
      </c>
      <c r="H124" s="77">
        <f>F100/Parametros!$I$42</f>
        <v>1.5277538862339634E-2</v>
      </c>
    </row>
    <row r="125" spans="1:8" x14ac:dyDescent="0.25">
      <c r="A125" s="246" t="s">
        <v>18</v>
      </c>
      <c r="B125" s="104" t="s">
        <v>40</v>
      </c>
      <c r="C125" s="47">
        <f>C43</f>
        <v>1E-3</v>
      </c>
      <c r="D125" s="47">
        <f>C101/Parametros!$H$41</f>
        <v>1E-3</v>
      </c>
      <c r="E125" s="47">
        <f>D101/Parametros!$I$41</f>
        <v>1E-3</v>
      </c>
      <c r="F125" s="76">
        <f>D43</f>
        <v>6.9999999999999999E-4</v>
      </c>
      <c r="G125" s="76">
        <f>E101/Parametros!$H$42</f>
        <v>6.9999999999999999E-4</v>
      </c>
      <c r="H125" s="76">
        <f>F101/Parametros!$I$42</f>
        <v>6.9999999999999999E-4</v>
      </c>
    </row>
    <row r="126" spans="1:8" ht="14.25" thickBot="1" x14ac:dyDescent="0.3">
      <c r="A126" s="248"/>
      <c r="B126" s="20" t="s">
        <v>102</v>
      </c>
      <c r="C126" s="50">
        <f ca="1">C44</f>
        <v>5.398871473354231E-2</v>
      </c>
      <c r="D126" s="50">
        <f ca="1">C102/Parametros!$H$41</f>
        <v>5.398871473354231E-2</v>
      </c>
      <c r="E126" s="50">
        <f ca="1">D102/Parametros!$I$41</f>
        <v>5.398871473354231E-2</v>
      </c>
      <c r="F126" s="79">
        <f ca="1">D44</f>
        <v>1.7237777142857142E-3</v>
      </c>
      <c r="G126" s="79">
        <f ca="1">E102/Parametros!$H$42</f>
        <v>1.7237777142857142E-3</v>
      </c>
      <c r="H126" s="79">
        <f ca="1">F102/Parametros!$I$42</f>
        <v>1.7237777142857142E-3</v>
      </c>
    </row>
    <row r="127" spans="1:8" x14ac:dyDescent="0.25">
      <c r="A127" s="64" t="s">
        <v>103</v>
      </c>
      <c r="B127" s="65" t="s">
        <v>104</v>
      </c>
      <c r="C127" s="47">
        <f>C45</f>
        <v>1.0279999999999999E-2</v>
      </c>
      <c r="D127" s="47">
        <f>C103/Parametros!$H$41</f>
        <v>1.0279999999999999E-2</v>
      </c>
      <c r="E127" s="47">
        <f>D103/Parametros!$I$41</f>
        <v>1.0279999999999999E-2</v>
      </c>
      <c r="F127" s="76">
        <f>D45</f>
        <v>2.4603428571428578E-5</v>
      </c>
      <c r="G127" s="76">
        <f>E103/Parametros!$H$42</f>
        <v>2.4603428571428578E-5</v>
      </c>
      <c r="H127" s="76">
        <f>F103/Parametros!$I$42</f>
        <v>2.4603428571428578E-5</v>
      </c>
    </row>
    <row r="128" spans="1:8" x14ac:dyDescent="0.25">
      <c r="B128" s="80" t="s">
        <v>24</v>
      </c>
      <c r="C128" s="81">
        <f ca="1">SUM(C116:C127)</f>
        <v>0.11927932142295535</v>
      </c>
      <c r="D128" s="81">
        <f ca="1">SUM(D116:D127)</f>
        <v>9.2274018078248823E-2</v>
      </c>
      <c r="E128" s="81">
        <f ca="1">SUM(E116:E127)</f>
        <v>0.1732899281123684</v>
      </c>
      <c r="F128" s="81">
        <f ca="1">SUM(F116:F127)</f>
        <v>7.49954839073603E-2</v>
      </c>
      <c r="G128" s="81">
        <f t="shared" ref="G128:H128" ca="1" si="12">SUM(G116:G127)</f>
        <v>3.8721932525108721E-2</v>
      </c>
      <c r="H128" s="81">
        <f t="shared" ca="1" si="12"/>
        <v>0.14754258667186348</v>
      </c>
    </row>
    <row r="129" spans="2:16" x14ac:dyDescent="0.25">
      <c r="P129" s="132"/>
    </row>
    <row r="130" spans="2:16" x14ac:dyDescent="0.25">
      <c r="C130" s="2" t="s">
        <v>74</v>
      </c>
      <c r="D130" s="30" t="s">
        <v>139</v>
      </c>
    </row>
    <row r="131" spans="2:16" x14ac:dyDescent="0.25">
      <c r="B131" s="82">
        <f>Parametros!I40</f>
        <v>5000</v>
      </c>
      <c r="C131" s="81">
        <f ca="1">E128</f>
        <v>0.1732899281123684</v>
      </c>
      <c r="D131" s="81">
        <f ca="1">H128</f>
        <v>0.14754258667186348</v>
      </c>
    </row>
    <row r="132" spans="2:16" x14ac:dyDescent="0.25">
      <c r="B132" s="82">
        <f>Parametros!C40</f>
        <v>10000</v>
      </c>
      <c r="C132" s="81">
        <f ca="1">C128</f>
        <v>0.11927932142295535</v>
      </c>
      <c r="D132" s="81">
        <f ca="1">F128</f>
        <v>7.49954839073603E-2</v>
      </c>
    </row>
    <row r="133" spans="2:16" x14ac:dyDescent="0.25">
      <c r="B133" s="82">
        <f>Parametros!H40</f>
        <v>20000</v>
      </c>
      <c r="C133" s="81">
        <f ca="1">D128</f>
        <v>9.2274018078248823E-2</v>
      </c>
      <c r="D133" s="81">
        <f ca="1">G128</f>
        <v>3.8721932525108721E-2</v>
      </c>
    </row>
    <row r="158" spans="3:8" ht="14.25" x14ac:dyDescent="0.25">
      <c r="C158" s="243" t="s">
        <v>150</v>
      </c>
      <c r="D158" s="249" t="s">
        <v>151</v>
      </c>
      <c r="E158" s="243" t="s">
        <v>121</v>
      </c>
      <c r="F158" s="243"/>
      <c r="G158" s="243" t="s">
        <v>122</v>
      </c>
      <c r="H158" s="243"/>
    </row>
    <row r="159" spans="3:8" ht="14.25" x14ac:dyDescent="0.25">
      <c r="C159" s="243"/>
      <c r="D159" s="249"/>
      <c r="E159" s="141" t="s">
        <v>1</v>
      </c>
      <c r="F159" s="141" t="s">
        <v>3</v>
      </c>
      <c r="G159" s="141" t="s">
        <v>1</v>
      </c>
      <c r="H159" s="141" t="s">
        <v>3</v>
      </c>
    </row>
    <row r="160" spans="3:8" ht="16.5" x14ac:dyDescent="0.3">
      <c r="C160" s="148" t="s">
        <v>152</v>
      </c>
      <c r="D160" s="148">
        <f>B131</f>
        <v>5000</v>
      </c>
      <c r="E160" s="149">
        <f ca="1">F160*D160*Parametros!$C$8</f>
        <v>5198.6978433710519</v>
      </c>
      <c r="F160" s="150">
        <f ca="1">C131</f>
        <v>0.1732899281123684</v>
      </c>
      <c r="G160" s="149">
        <f ca="1">H160*D160*Parametros!$C$19</f>
        <v>4426.2776001559041</v>
      </c>
      <c r="H160" s="150">
        <f ca="1">D131</f>
        <v>0.14754258667186348</v>
      </c>
    </row>
    <row r="161" spans="3:8" ht="16.5" x14ac:dyDescent="0.3">
      <c r="C161" s="145" t="s">
        <v>153</v>
      </c>
      <c r="D161" s="145">
        <f t="shared" ref="D161:D162" si="13">B132</f>
        <v>10000</v>
      </c>
      <c r="E161" s="146">
        <f ca="1">F161*D161*Parametros!$C$8</f>
        <v>7156.7592853773212</v>
      </c>
      <c r="F161" s="147">
        <f t="shared" ref="F161:F162" ca="1" si="14">C132</f>
        <v>0.11927932142295535</v>
      </c>
      <c r="G161" s="146">
        <f ca="1">H161*D161*Parametros!$C$19</f>
        <v>4499.7290344416178</v>
      </c>
      <c r="H161" s="147">
        <f t="shared" ref="H161:H162" ca="1" si="15">D132</f>
        <v>7.49954839073603E-2</v>
      </c>
    </row>
    <row r="162" spans="3:8" ht="16.5" x14ac:dyDescent="0.3">
      <c r="C162" s="142" t="s">
        <v>154</v>
      </c>
      <c r="D162" s="142">
        <f t="shared" si="13"/>
        <v>20000</v>
      </c>
      <c r="E162" s="143">
        <f ca="1">F162*D162*Parametros!$C$8</f>
        <v>11072.882169389859</v>
      </c>
      <c r="F162" s="144">
        <f t="shared" ca="1" si="14"/>
        <v>9.2274018078248823E-2</v>
      </c>
      <c r="G162" s="143">
        <f ca="1">H162*D162*Parametros!$C$19</f>
        <v>4646.6319030130462</v>
      </c>
      <c r="H162" s="144">
        <f t="shared" ca="1" si="15"/>
        <v>3.8721932525108721E-2</v>
      </c>
    </row>
  </sheetData>
  <mergeCells count="34">
    <mergeCell ref="A1:F1"/>
    <mergeCell ref="A7:A12"/>
    <mergeCell ref="A13:A14"/>
    <mergeCell ref="A4:A6"/>
    <mergeCell ref="A26:B26"/>
    <mergeCell ref="A20:B20"/>
    <mergeCell ref="A21:B21"/>
    <mergeCell ref="A22:B22"/>
    <mergeCell ref="A24:B24"/>
    <mergeCell ref="A25:B25"/>
    <mergeCell ref="A28:B28"/>
    <mergeCell ref="A111:B111"/>
    <mergeCell ref="C158:C159"/>
    <mergeCell ref="D158:D159"/>
    <mergeCell ref="E158:F158"/>
    <mergeCell ref="A34:A36"/>
    <mergeCell ref="A125:A126"/>
    <mergeCell ref="A37:A42"/>
    <mergeCell ref="A43:A44"/>
    <mergeCell ref="A113:F113"/>
    <mergeCell ref="A109:B109"/>
    <mergeCell ref="A110:B110"/>
    <mergeCell ref="A116:A118"/>
    <mergeCell ref="A119:A124"/>
    <mergeCell ref="G158:H158"/>
    <mergeCell ref="A29:B29"/>
    <mergeCell ref="A105:B105"/>
    <mergeCell ref="A106:B106"/>
    <mergeCell ref="A107:B107"/>
    <mergeCell ref="A89:F89"/>
    <mergeCell ref="A92:A94"/>
    <mergeCell ref="A95:A100"/>
    <mergeCell ref="A101:A102"/>
    <mergeCell ref="A31:F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2C10-E096-4F80-A84A-9B66D1D4961F}">
  <dimension ref="A1:AU88"/>
  <sheetViews>
    <sheetView workbookViewId="0">
      <selection sqref="A1:B1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51" t="s">
        <v>183</v>
      </c>
      <c r="B1" s="251"/>
      <c r="C1" s="191"/>
      <c r="D1" s="192"/>
      <c r="E1" s="191"/>
      <c r="F1" s="191"/>
      <c r="G1" s="193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</row>
    <row r="2" spans="1:36" ht="18.75" x14ac:dyDescent="0.3">
      <c r="A2" s="194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6" ht="15" x14ac:dyDescent="0.25">
      <c r="A3" s="252" t="s">
        <v>177</v>
      </c>
      <c r="B3" s="252"/>
      <c r="C3" s="196">
        <v>0</v>
      </c>
    </row>
    <row r="4" spans="1:36" ht="15" x14ac:dyDescent="0.25">
      <c r="A4" s="253" t="s">
        <v>184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197"/>
    </row>
    <row r="5" spans="1:36" ht="15" x14ac:dyDescent="0.25">
      <c r="A5" s="190"/>
      <c r="E5" s="198">
        <v>0</v>
      </c>
      <c r="F5" s="198">
        <v>1</v>
      </c>
      <c r="G5" s="198">
        <v>2</v>
      </c>
      <c r="H5" s="198">
        <v>3</v>
      </c>
      <c r="I5" s="198">
        <v>4</v>
      </c>
      <c r="J5" s="198">
        <v>5</v>
      </c>
      <c r="K5" s="198">
        <v>6</v>
      </c>
      <c r="L5" s="198">
        <v>7</v>
      </c>
      <c r="M5" s="198">
        <v>8</v>
      </c>
      <c r="N5" s="198">
        <v>9</v>
      </c>
      <c r="O5" s="198">
        <v>10</v>
      </c>
      <c r="P5" s="198">
        <v>11</v>
      </c>
      <c r="Q5" s="198">
        <v>12</v>
      </c>
      <c r="R5" s="198">
        <v>13</v>
      </c>
      <c r="S5" s="198">
        <v>14</v>
      </c>
      <c r="T5" s="198">
        <v>15</v>
      </c>
      <c r="U5" s="198">
        <v>16</v>
      </c>
      <c r="V5" s="198">
        <v>17</v>
      </c>
      <c r="W5" s="198">
        <v>18</v>
      </c>
      <c r="X5" s="198">
        <v>19</v>
      </c>
      <c r="Y5" s="198">
        <v>20</v>
      </c>
      <c r="Z5" s="198">
        <v>21</v>
      </c>
      <c r="AA5" s="198">
        <v>22</v>
      </c>
      <c r="AB5" s="198">
        <v>23</v>
      </c>
      <c r="AC5" s="198">
        <v>24</v>
      </c>
      <c r="AD5" s="198">
        <v>25</v>
      </c>
      <c r="AE5" s="198">
        <v>26</v>
      </c>
      <c r="AF5" s="198">
        <v>27</v>
      </c>
      <c r="AG5" s="198">
        <v>28</v>
      </c>
      <c r="AJ5" s="199"/>
    </row>
    <row r="6" spans="1:36" ht="15" x14ac:dyDescent="0.25">
      <c r="A6" s="254" t="s">
        <v>178</v>
      </c>
      <c r="B6" s="254"/>
      <c r="C6" s="197" t="s">
        <v>1</v>
      </c>
      <c r="E6" s="200">
        <v>2022</v>
      </c>
      <c r="F6" s="200">
        <f>+E6+1</f>
        <v>2023</v>
      </c>
      <c r="G6" s="201">
        <f t="shared" ref="G6:AG6" si="0">+F6+1</f>
        <v>2024</v>
      </c>
      <c r="H6" s="201">
        <f t="shared" si="0"/>
        <v>2025</v>
      </c>
      <c r="I6" s="201">
        <f t="shared" si="0"/>
        <v>2026</v>
      </c>
      <c r="J6" s="201">
        <f t="shared" si="0"/>
        <v>2027</v>
      </c>
      <c r="K6" s="201">
        <f t="shared" si="0"/>
        <v>2028</v>
      </c>
      <c r="L6" s="201">
        <f t="shared" si="0"/>
        <v>2029</v>
      </c>
      <c r="M6" s="201">
        <f t="shared" si="0"/>
        <v>2030</v>
      </c>
      <c r="N6" s="201">
        <f t="shared" si="0"/>
        <v>2031</v>
      </c>
      <c r="O6" s="201">
        <f t="shared" si="0"/>
        <v>2032</v>
      </c>
      <c r="P6" s="201">
        <f t="shared" si="0"/>
        <v>2033</v>
      </c>
      <c r="Q6" s="201">
        <f t="shared" si="0"/>
        <v>2034</v>
      </c>
      <c r="R6" s="201">
        <f t="shared" si="0"/>
        <v>2035</v>
      </c>
      <c r="S6" s="201">
        <f t="shared" si="0"/>
        <v>2036</v>
      </c>
      <c r="T6" s="201">
        <f t="shared" si="0"/>
        <v>2037</v>
      </c>
      <c r="U6" s="201">
        <f t="shared" si="0"/>
        <v>2038</v>
      </c>
      <c r="V6" s="201">
        <f t="shared" si="0"/>
        <v>2039</v>
      </c>
      <c r="W6" s="201">
        <f t="shared" si="0"/>
        <v>2040</v>
      </c>
      <c r="X6" s="201">
        <f t="shared" si="0"/>
        <v>2041</v>
      </c>
      <c r="Y6" s="201">
        <f t="shared" si="0"/>
        <v>2042</v>
      </c>
      <c r="Z6" s="201">
        <f t="shared" si="0"/>
        <v>2043</v>
      </c>
      <c r="AA6" s="201">
        <f t="shared" si="0"/>
        <v>2044</v>
      </c>
      <c r="AB6" s="201">
        <f t="shared" si="0"/>
        <v>2045</v>
      </c>
      <c r="AC6" s="201">
        <f t="shared" si="0"/>
        <v>2046</v>
      </c>
      <c r="AD6" s="201">
        <f t="shared" si="0"/>
        <v>2047</v>
      </c>
      <c r="AE6" s="201">
        <f t="shared" si="0"/>
        <v>2048</v>
      </c>
      <c r="AF6" s="201">
        <f t="shared" si="0"/>
        <v>2049</v>
      </c>
      <c r="AG6" s="201">
        <f t="shared" si="0"/>
        <v>2050</v>
      </c>
      <c r="AI6" s="201" t="s">
        <v>179</v>
      </c>
      <c r="AJ6" s="199"/>
    </row>
    <row r="7" spans="1:36" ht="15" x14ac:dyDescent="0.25">
      <c r="A7" s="246" t="s">
        <v>16</v>
      </c>
      <c r="B7" s="19" t="s">
        <v>155</v>
      </c>
      <c r="C7" s="202"/>
      <c r="E7" s="203">
        <f>CTP!C4</f>
        <v>1500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4">
        <v>0</v>
      </c>
      <c r="AA7" s="204">
        <v>0</v>
      </c>
      <c r="AB7" s="204">
        <v>0</v>
      </c>
      <c r="AC7" s="204">
        <v>0</v>
      </c>
      <c r="AD7" s="204">
        <v>0</v>
      </c>
      <c r="AE7" s="204">
        <v>0</v>
      </c>
      <c r="AF7" s="204">
        <v>0</v>
      </c>
      <c r="AG7" s="205">
        <v>0</v>
      </c>
      <c r="AH7" s="199"/>
      <c r="AI7" s="206">
        <f>+SUM(E7:AG7)</f>
        <v>1500</v>
      </c>
      <c r="AJ7" s="199"/>
    </row>
    <row r="8" spans="1:36" ht="15" x14ac:dyDescent="0.25">
      <c r="A8" s="247"/>
      <c r="B8" s="22" t="s">
        <v>49</v>
      </c>
      <c r="C8" s="202"/>
      <c r="E8" s="207">
        <f>CTP!C5</f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K8" s="208">
        <v>0</v>
      </c>
      <c r="L8" s="208">
        <v>0</v>
      </c>
      <c r="M8" s="208">
        <v>0</v>
      </c>
      <c r="N8" s="208">
        <v>0</v>
      </c>
      <c r="O8" s="208">
        <v>0</v>
      </c>
      <c r="P8" s="208">
        <v>0</v>
      </c>
      <c r="Q8" s="208">
        <v>0</v>
      </c>
      <c r="R8" s="208">
        <v>0</v>
      </c>
      <c r="S8" s="208">
        <v>0</v>
      </c>
      <c r="T8" s="208">
        <v>0</v>
      </c>
      <c r="U8" s="208">
        <v>0</v>
      </c>
      <c r="V8" s="208">
        <v>0</v>
      </c>
      <c r="W8" s="208">
        <v>0</v>
      </c>
      <c r="X8" s="208">
        <v>0</v>
      </c>
      <c r="Y8" s="208">
        <v>0</v>
      </c>
      <c r="Z8" s="208">
        <v>0</v>
      </c>
      <c r="AA8" s="208">
        <v>0</v>
      </c>
      <c r="AB8" s="208">
        <v>0</v>
      </c>
      <c r="AC8" s="208">
        <v>0</v>
      </c>
      <c r="AD8" s="208">
        <v>0</v>
      </c>
      <c r="AE8" s="208">
        <v>0</v>
      </c>
      <c r="AF8" s="208">
        <v>0</v>
      </c>
      <c r="AG8" s="209">
        <v>0</v>
      </c>
      <c r="AH8" s="199"/>
      <c r="AI8" s="210">
        <f t="shared" ref="AI8:AI16" si="1">+SUM(E8:AG8)</f>
        <v>0</v>
      </c>
      <c r="AJ8" s="199"/>
    </row>
    <row r="9" spans="1:36" ht="15" x14ac:dyDescent="0.25">
      <c r="A9" s="248"/>
      <c r="B9" s="20" t="s">
        <v>100</v>
      </c>
      <c r="C9" s="202"/>
      <c r="E9" s="211">
        <f>CTP!C6</f>
        <v>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0</v>
      </c>
      <c r="W9" s="212">
        <v>0</v>
      </c>
      <c r="X9" s="212">
        <v>0</v>
      </c>
      <c r="Y9" s="212"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3">
        <v>0</v>
      </c>
      <c r="AH9" s="199"/>
      <c r="AI9" s="214">
        <f t="shared" si="1"/>
        <v>0</v>
      </c>
      <c r="AJ9" s="199"/>
    </row>
    <row r="10" spans="1:36" ht="15" x14ac:dyDescent="0.25">
      <c r="A10" s="246" t="s">
        <v>17</v>
      </c>
      <c r="B10" s="19" t="s">
        <v>76</v>
      </c>
      <c r="C10" s="202"/>
      <c r="E10" s="203">
        <f>CTP!C7</f>
        <v>75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4">
        <v>0</v>
      </c>
      <c r="AA10" s="204"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5">
        <v>0</v>
      </c>
      <c r="AH10" s="199"/>
      <c r="AI10" s="206">
        <f t="shared" si="1"/>
        <v>75</v>
      </c>
      <c r="AJ10" s="199"/>
    </row>
    <row r="11" spans="1:36" ht="15" x14ac:dyDescent="0.25">
      <c r="A11" s="247"/>
      <c r="B11" s="104" t="s">
        <v>31</v>
      </c>
      <c r="C11" s="202"/>
      <c r="E11" s="207">
        <f>CTP!C8</f>
        <v>345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f>[1]CTP!$C$7</f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0</v>
      </c>
      <c r="AC11" s="208">
        <v>0</v>
      </c>
      <c r="AD11" s="208">
        <v>0</v>
      </c>
      <c r="AE11" s="208">
        <v>0</v>
      </c>
      <c r="AF11" s="208">
        <v>0</v>
      </c>
      <c r="AG11" s="209">
        <v>0</v>
      </c>
      <c r="AH11" s="199"/>
      <c r="AI11" s="210">
        <f t="shared" si="1"/>
        <v>345</v>
      </c>
      <c r="AJ11" s="199"/>
    </row>
    <row r="12" spans="1:36" ht="15" x14ac:dyDescent="0.25">
      <c r="A12" s="247"/>
      <c r="B12" s="104" t="s">
        <v>77</v>
      </c>
      <c r="C12" s="202"/>
      <c r="E12" s="207">
        <f>CTP!C9</f>
        <v>330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0</v>
      </c>
      <c r="Y12" s="208">
        <v>0</v>
      </c>
      <c r="Z12" s="208">
        <v>0</v>
      </c>
      <c r="AA12" s="208">
        <v>0</v>
      </c>
      <c r="AB12" s="208">
        <v>0</v>
      </c>
      <c r="AC12" s="208">
        <v>0</v>
      </c>
      <c r="AD12" s="208">
        <v>0</v>
      </c>
      <c r="AE12" s="208">
        <v>0</v>
      </c>
      <c r="AF12" s="208">
        <v>0</v>
      </c>
      <c r="AG12" s="209">
        <v>0</v>
      </c>
      <c r="AH12" s="199"/>
      <c r="AI12" s="210">
        <f t="shared" si="1"/>
        <v>330</v>
      </c>
      <c r="AJ12" s="199"/>
    </row>
    <row r="13" spans="1:36" ht="15" x14ac:dyDescent="0.25">
      <c r="A13" s="247"/>
      <c r="B13" s="104" t="s">
        <v>30</v>
      </c>
      <c r="C13" s="202"/>
      <c r="E13" s="207">
        <f>CTP!C10</f>
        <v>246.75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  <c r="W13" s="208">
        <v>0</v>
      </c>
      <c r="X13" s="208">
        <v>0</v>
      </c>
      <c r="Y13" s="208">
        <v>0</v>
      </c>
      <c r="Z13" s="208">
        <v>0</v>
      </c>
      <c r="AA13" s="208">
        <v>0</v>
      </c>
      <c r="AB13" s="208">
        <v>0</v>
      </c>
      <c r="AC13" s="208">
        <v>0</v>
      </c>
      <c r="AD13" s="208">
        <v>0</v>
      </c>
      <c r="AE13" s="208">
        <v>0</v>
      </c>
      <c r="AF13" s="208">
        <v>0</v>
      </c>
      <c r="AG13" s="209">
        <v>0</v>
      </c>
      <c r="AH13" s="199"/>
      <c r="AI13" s="210">
        <f t="shared" si="1"/>
        <v>246.75</v>
      </c>
      <c r="AJ13" s="199"/>
    </row>
    <row r="14" spans="1:36" ht="15" x14ac:dyDescent="0.25">
      <c r="A14" s="247"/>
      <c r="B14" s="104" t="s">
        <v>136</v>
      </c>
      <c r="C14" s="202"/>
      <c r="E14" s="207">
        <f>Parametros!$C$112*CTP!$C$4</f>
        <v>75</v>
      </c>
      <c r="F14" s="208">
        <f>Parametros!$C$113*CTP!$C$4</f>
        <v>67.5</v>
      </c>
      <c r="G14" s="208">
        <f>Parametros!$C$113*CTP!$C$4</f>
        <v>67.5</v>
      </c>
      <c r="H14" s="208">
        <f>Parametros!$C$113*CTP!$C$4</f>
        <v>67.5</v>
      </c>
      <c r="I14" s="208">
        <f>Parametros!$C$113*CTP!$C$4</f>
        <v>67.5</v>
      </c>
      <c r="J14" s="208">
        <f>Parametros!$C$113*CTP!$C$4</f>
        <v>67.5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208">
        <v>0</v>
      </c>
      <c r="T14" s="208">
        <v>0</v>
      </c>
      <c r="U14" s="208">
        <v>0</v>
      </c>
      <c r="V14" s="208"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08">
        <v>0</v>
      </c>
      <c r="AE14" s="208">
        <v>0</v>
      </c>
      <c r="AF14" s="208">
        <v>0</v>
      </c>
      <c r="AG14" s="209">
        <v>0</v>
      </c>
      <c r="AH14" s="199"/>
      <c r="AI14" s="210">
        <f t="shared" si="1"/>
        <v>412.5</v>
      </c>
      <c r="AJ14" s="199"/>
    </row>
    <row r="15" spans="1:36" ht="15" x14ac:dyDescent="0.25">
      <c r="A15" s="248"/>
      <c r="B15" s="20" t="s">
        <v>101</v>
      </c>
      <c r="C15" s="202"/>
      <c r="E15" s="215">
        <f>-IPMT(Parametros!$C$53,1,Parametros!$C$52,(SUM(CTP!$C$4,CTP!$C$7:$C$10)))</f>
        <v>162.28874999999999</v>
      </c>
      <c r="F15" s="216">
        <f>-IPMT(Parametros!$C$53,2,Parametros!$C$52,(SUM(CTP!$C$4,CTP!$C$7:$C$10)))</f>
        <v>111.56123005376301</v>
      </c>
      <c r="G15" s="216">
        <f>-IPMT(Parametros!$C$53,3,Parametros!$C$52,(SUM(CTP!$C$4,CTP!$C$7:$C$10)))</f>
        <v>57.536421311020625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  <c r="P15" s="212">
        <v>0</v>
      </c>
      <c r="Q15" s="212">
        <v>0</v>
      </c>
      <c r="R15" s="212">
        <v>0</v>
      </c>
      <c r="S15" s="212">
        <v>0</v>
      </c>
      <c r="T15" s="212">
        <v>0</v>
      </c>
      <c r="U15" s="212">
        <v>0</v>
      </c>
      <c r="V15" s="212">
        <v>0</v>
      </c>
      <c r="W15" s="212">
        <v>0</v>
      </c>
      <c r="X15" s="212">
        <v>0</v>
      </c>
      <c r="Y15" s="212"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3">
        <v>0</v>
      </c>
      <c r="AH15" s="199"/>
      <c r="AI15" s="214">
        <f t="shared" si="1"/>
        <v>331.38640136478364</v>
      </c>
      <c r="AJ15" s="199"/>
    </row>
    <row r="16" spans="1:36" ht="15" x14ac:dyDescent="0.25">
      <c r="A16" s="246" t="s">
        <v>18</v>
      </c>
      <c r="B16" s="104" t="s">
        <v>40</v>
      </c>
      <c r="C16" s="202"/>
      <c r="E16" s="203">
        <f>Parametros!$C$10*Parametros!$C$40</f>
        <v>10</v>
      </c>
      <c r="F16" s="204">
        <f>Parametros!$C$10*Parametros!$C$40</f>
        <v>10</v>
      </c>
      <c r="G16" s="204">
        <f>Parametros!$C$10*Parametros!$C$40</f>
        <v>10</v>
      </c>
      <c r="H16" s="204">
        <f>Parametros!$C$10*Parametros!$C$40</f>
        <v>10</v>
      </c>
      <c r="I16" s="204">
        <f>Parametros!$C$10*Parametros!$C$40</f>
        <v>10</v>
      </c>
      <c r="J16" s="204">
        <f>Parametros!$C$10*Parametros!$C$40</f>
        <v>10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4">
        <v>0</v>
      </c>
      <c r="AA16" s="204">
        <v>0</v>
      </c>
      <c r="AB16" s="204">
        <v>0</v>
      </c>
      <c r="AC16" s="204">
        <v>0</v>
      </c>
      <c r="AD16" s="204">
        <v>0</v>
      </c>
      <c r="AE16" s="204">
        <v>0</v>
      </c>
      <c r="AF16" s="204">
        <v>0</v>
      </c>
      <c r="AG16" s="205">
        <v>0</v>
      </c>
      <c r="AH16" s="199"/>
      <c r="AI16" s="206">
        <f t="shared" si="1"/>
        <v>60</v>
      </c>
      <c r="AJ16" s="199"/>
    </row>
    <row r="17" spans="1:36" ht="15" x14ac:dyDescent="0.25">
      <c r="A17" s="248"/>
      <c r="B17" s="20" t="s">
        <v>102</v>
      </c>
      <c r="C17" s="202"/>
      <c r="E17" s="215">
        <f>Parametros!E72</f>
        <v>539.88714733542315</v>
      </c>
      <c r="F17" s="216">
        <f>Parametros!E73</f>
        <v>539.88714733542315</v>
      </c>
      <c r="G17" s="216">
        <f>Parametros!E74</f>
        <v>539.88714733542315</v>
      </c>
      <c r="H17" s="212">
        <f>Parametros!E75</f>
        <v>539.88714733542315</v>
      </c>
      <c r="I17" s="212">
        <f>Parametros!E76</f>
        <v>539.88714733542315</v>
      </c>
      <c r="J17" s="212">
        <f>Parametros!E77</f>
        <v>539.88714733542315</v>
      </c>
      <c r="K17" s="212">
        <v>0</v>
      </c>
      <c r="L17" s="212">
        <v>0</v>
      </c>
      <c r="M17" s="212">
        <v>0</v>
      </c>
      <c r="N17" s="212">
        <v>0</v>
      </c>
      <c r="O17" s="212">
        <v>0</v>
      </c>
      <c r="P17" s="212">
        <v>0</v>
      </c>
      <c r="Q17" s="212">
        <v>0</v>
      </c>
      <c r="R17" s="212">
        <v>0</v>
      </c>
      <c r="S17" s="212">
        <v>0</v>
      </c>
      <c r="T17" s="212">
        <v>0</v>
      </c>
      <c r="U17" s="212">
        <v>0</v>
      </c>
      <c r="V17" s="212">
        <v>0</v>
      </c>
      <c r="W17" s="212">
        <v>0</v>
      </c>
      <c r="X17" s="212">
        <v>0</v>
      </c>
      <c r="Y17" s="212"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3">
        <v>0</v>
      </c>
      <c r="AH17" s="199"/>
      <c r="AI17" s="214">
        <f>+SUM(E17:AG17)</f>
        <v>3239.3228840125385</v>
      </c>
      <c r="AJ17" s="199"/>
    </row>
    <row r="18" spans="1:36" ht="15" x14ac:dyDescent="0.25">
      <c r="A18" s="64" t="s">
        <v>180</v>
      </c>
      <c r="B18" s="65" t="s">
        <v>104</v>
      </c>
      <c r="C18" s="202"/>
      <c r="E18" s="215">
        <f>Parametros!$C$125*Parametros!$C$40/(10^6)*Parametros!$C$127</f>
        <v>102.8</v>
      </c>
      <c r="F18" s="216">
        <f>Parametros!$C$125*Parametros!$C$40/(10^6)*Parametros!$C$127</f>
        <v>102.8</v>
      </c>
      <c r="G18" s="216">
        <f>Parametros!$C$125*Parametros!$C$40/(10^6)*Parametros!$C$127</f>
        <v>102.8</v>
      </c>
      <c r="H18" s="216">
        <f>Parametros!$C$125*Parametros!$C$40/(10^6)*Parametros!$C$127</f>
        <v>102.8</v>
      </c>
      <c r="I18" s="216">
        <f>Parametros!$C$125*Parametros!$C$40/(10^6)*Parametros!$C$127</f>
        <v>102.8</v>
      </c>
      <c r="J18" s="216">
        <f>Parametros!$C$125*Parametros!$C$40/(10^6)*Parametros!$C$127</f>
        <v>102.8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0</v>
      </c>
      <c r="S18" s="212">
        <v>0</v>
      </c>
      <c r="T18" s="212">
        <v>0</v>
      </c>
      <c r="U18" s="212">
        <v>0</v>
      </c>
      <c r="V18" s="212">
        <v>0</v>
      </c>
      <c r="W18" s="212">
        <v>0</v>
      </c>
      <c r="X18" s="212">
        <v>0</v>
      </c>
      <c r="Y18" s="212"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3">
        <v>0</v>
      </c>
      <c r="AH18" s="199"/>
      <c r="AI18" s="208">
        <f>+SUM(E18:AG18)</f>
        <v>616.79999999999995</v>
      </c>
      <c r="AJ18" s="199"/>
    </row>
    <row r="19" spans="1:36" ht="15" x14ac:dyDescent="0.25">
      <c r="B19" s="197" t="s">
        <v>179</v>
      </c>
      <c r="C19" s="202"/>
      <c r="E19" s="217">
        <f t="shared" ref="E19:AG19" si="2">SUM(E7:E18)</f>
        <v>3386.7258973354237</v>
      </c>
      <c r="F19" s="217">
        <f t="shared" si="2"/>
        <v>831.74837738918609</v>
      </c>
      <c r="G19" s="217">
        <f t="shared" si="2"/>
        <v>777.72356864644371</v>
      </c>
      <c r="H19" s="217">
        <f t="shared" si="2"/>
        <v>720.18714733542311</v>
      </c>
      <c r="I19" s="217">
        <f t="shared" si="2"/>
        <v>720.18714733542311</v>
      </c>
      <c r="J19" s="217">
        <f t="shared" si="2"/>
        <v>720.18714733542311</v>
      </c>
      <c r="K19" s="217">
        <f t="shared" si="2"/>
        <v>0</v>
      </c>
      <c r="L19" s="217">
        <f t="shared" si="2"/>
        <v>0</v>
      </c>
      <c r="M19" s="217">
        <f t="shared" si="2"/>
        <v>0</v>
      </c>
      <c r="N19" s="217">
        <f t="shared" si="2"/>
        <v>0</v>
      </c>
      <c r="O19" s="217">
        <f t="shared" si="2"/>
        <v>0</v>
      </c>
      <c r="P19" s="217">
        <f t="shared" si="2"/>
        <v>0</v>
      </c>
      <c r="Q19" s="217">
        <f t="shared" si="2"/>
        <v>0</v>
      </c>
      <c r="R19" s="217">
        <f t="shared" si="2"/>
        <v>0</v>
      </c>
      <c r="S19" s="217">
        <f t="shared" si="2"/>
        <v>0</v>
      </c>
      <c r="T19" s="217">
        <f t="shared" si="2"/>
        <v>0</v>
      </c>
      <c r="U19" s="217">
        <f t="shared" si="2"/>
        <v>0</v>
      </c>
      <c r="V19" s="217">
        <f t="shared" si="2"/>
        <v>0</v>
      </c>
      <c r="W19" s="217">
        <f t="shared" si="2"/>
        <v>0</v>
      </c>
      <c r="X19" s="217">
        <f t="shared" si="2"/>
        <v>0</v>
      </c>
      <c r="Y19" s="217">
        <f t="shared" si="2"/>
        <v>0</v>
      </c>
      <c r="Z19" s="217">
        <f t="shared" si="2"/>
        <v>0</v>
      </c>
      <c r="AA19" s="217">
        <f t="shared" si="2"/>
        <v>0</v>
      </c>
      <c r="AB19" s="217">
        <f t="shared" si="2"/>
        <v>0</v>
      </c>
      <c r="AC19" s="217">
        <f t="shared" si="2"/>
        <v>0</v>
      </c>
      <c r="AD19" s="217">
        <f t="shared" si="2"/>
        <v>0</v>
      </c>
      <c r="AE19" s="217">
        <f t="shared" si="2"/>
        <v>0</v>
      </c>
      <c r="AF19" s="217">
        <f t="shared" si="2"/>
        <v>0</v>
      </c>
      <c r="AG19" s="217">
        <f t="shared" si="2"/>
        <v>0</v>
      </c>
      <c r="AH19" s="199"/>
      <c r="AI19" s="218">
        <f>+SUM(E19:AG19)</f>
        <v>7156.7592853773231</v>
      </c>
      <c r="AJ19" s="199"/>
    </row>
    <row r="20" spans="1:36" ht="15" x14ac:dyDescent="0.25">
      <c r="A20" s="199"/>
      <c r="C20" s="21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</row>
    <row r="21" spans="1:36" ht="15" x14ac:dyDescent="0.25">
      <c r="C21" s="202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199"/>
      <c r="AI21" s="199"/>
      <c r="AJ21" s="199"/>
    </row>
    <row r="22" spans="1:36" ht="15" x14ac:dyDescent="0.25">
      <c r="A22" s="197" t="s">
        <v>181</v>
      </c>
      <c r="E22" s="221">
        <f t="shared" ref="E22:AG22" si="3">1/(1+$C$3)^E5</f>
        <v>1</v>
      </c>
      <c r="F22" s="221">
        <f t="shared" si="3"/>
        <v>1</v>
      </c>
      <c r="G22" s="221">
        <f t="shared" si="3"/>
        <v>1</v>
      </c>
      <c r="H22" s="221">
        <f t="shared" si="3"/>
        <v>1</v>
      </c>
      <c r="I22" s="221">
        <f t="shared" si="3"/>
        <v>1</v>
      </c>
      <c r="J22" s="221">
        <f t="shared" si="3"/>
        <v>1</v>
      </c>
      <c r="K22" s="221">
        <f t="shared" si="3"/>
        <v>1</v>
      </c>
      <c r="L22" s="221">
        <f t="shared" si="3"/>
        <v>1</v>
      </c>
      <c r="M22" s="221">
        <f t="shared" si="3"/>
        <v>1</v>
      </c>
      <c r="N22" s="221">
        <f t="shared" si="3"/>
        <v>1</v>
      </c>
      <c r="O22" s="221">
        <f t="shared" si="3"/>
        <v>1</v>
      </c>
      <c r="P22" s="221">
        <f t="shared" si="3"/>
        <v>1</v>
      </c>
      <c r="Q22" s="221">
        <f t="shared" si="3"/>
        <v>1</v>
      </c>
      <c r="R22" s="221">
        <f t="shared" si="3"/>
        <v>1</v>
      </c>
      <c r="S22" s="221">
        <f t="shared" si="3"/>
        <v>1</v>
      </c>
      <c r="T22" s="221">
        <f t="shared" si="3"/>
        <v>1</v>
      </c>
      <c r="U22" s="221">
        <f t="shared" si="3"/>
        <v>1</v>
      </c>
      <c r="V22" s="221">
        <f t="shared" si="3"/>
        <v>1</v>
      </c>
      <c r="W22" s="221">
        <f t="shared" si="3"/>
        <v>1</v>
      </c>
      <c r="X22" s="221">
        <f t="shared" si="3"/>
        <v>1</v>
      </c>
      <c r="Y22" s="221">
        <f t="shared" si="3"/>
        <v>1</v>
      </c>
      <c r="Z22" s="221">
        <f t="shared" si="3"/>
        <v>1</v>
      </c>
      <c r="AA22" s="221">
        <f t="shared" si="3"/>
        <v>1</v>
      </c>
      <c r="AB22" s="221">
        <f t="shared" si="3"/>
        <v>1</v>
      </c>
      <c r="AC22" s="221">
        <f t="shared" si="3"/>
        <v>1</v>
      </c>
      <c r="AD22" s="221">
        <f t="shared" si="3"/>
        <v>1</v>
      </c>
      <c r="AE22" s="221">
        <f t="shared" si="3"/>
        <v>1</v>
      </c>
      <c r="AF22" s="221">
        <f t="shared" si="3"/>
        <v>1</v>
      </c>
      <c r="AG22" s="221">
        <f t="shared" si="3"/>
        <v>1</v>
      </c>
      <c r="AH22" s="199"/>
      <c r="AI22" s="199"/>
      <c r="AJ22" s="199"/>
    </row>
    <row r="23" spans="1:36" ht="15" x14ac:dyDescent="0.25">
      <c r="C23" s="222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199"/>
      <c r="AI23" s="199"/>
      <c r="AJ23" s="199"/>
    </row>
    <row r="24" spans="1:36" ht="15" x14ac:dyDescent="0.25">
      <c r="A24" s="255" t="s">
        <v>182</v>
      </c>
      <c r="B24" s="255"/>
      <c r="C24" s="197" t="s">
        <v>1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</row>
    <row r="25" spans="1:36" ht="15" x14ac:dyDescent="0.25">
      <c r="A25" s="246" t="s">
        <v>16</v>
      </c>
      <c r="B25" s="19" t="s">
        <v>155</v>
      </c>
      <c r="C25" s="202"/>
      <c r="E25" s="223">
        <f>+E7*E$22</f>
        <v>1500</v>
      </c>
      <c r="F25" s="224">
        <f t="shared" ref="F25:AG34" si="4">+F7*F$22</f>
        <v>0</v>
      </c>
      <c r="G25" s="224">
        <f t="shared" si="4"/>
        <v>0</v>
      </c>
      <c r="H25" s="224">
        <f t="shared" si="4"/>
        <v>0</v>
      </c>
      <c r="I25" s="224">
        <f t="shared" si="4"/>
        <v>0</v>
      </c>
      <c r="J25" s="224">
        <f t="shared" si="4"/>
        <v>0</v>
      </c>
      <c r="K25" s="224">
        <f t="shared" si="4"/>
        <v>0</v>
      </c>
      <c r="L25" s="224">
        <f t="shared" si="4"/>
        <v>0</v>
      </c>
      <c r="M25" s="224">
        <f t="shared" si="4"/>
        <v>0</v>
      </c>
      <c r="N25" s="224">
        <f t="shared" si="4"/>
        <v>0</v>
      </c>
      <c r="O25" s="224">
        <f t="shared" si="4"/>
        <v>0</v>
      </c>
      <c r="P25" s="224">
        <f t="shared" si="4"/>
        <v>0</v>
      </c>
      <c r="Q25" s="224">
        <f t="shared" si="4"/>
        <v>0</v>
      </c>
      <c r="R25" s="224">
        <f t="shared" si="4"/>
        <v>0</v>
      </c>
      <c r="S25" s="224">
        <f t="shared" si="4"/>
        <v>0</v>
      </c>
      <c r="T25" s="224">
        <f t="shared" si="4"/>
        <v>0</v>
      </c>
      <c r="U25" s="224">
        <f t="shared" si="4"/>
        <v>0</v>
      </c>
      <c r="V25" s="224">
        <f t="shared" si="4"/>
        <v>0</v>
      </c>
      <c r="W25" s="224">
        <f t="shared" si="4"/>
        <v>0</v>
      </c>
      <c r="X25" s="224">
        <f t="shared" si="4"/>
        <v>0</v>
      </c>
      <c r="Y25" s="224">
        <f t="shared" si="4"/>
        <v>0</v>
      </c>
      <c r="Z25" s="224">
        <f t="shared" si="4"/>
        <v>0</v>
      </c>
      <c r="AA25" s="224">
        <f t="shared" si="4"/>
        <v>0</v>
      </c>
      <c r="AB25" s="224">
        <f t="shared" si="4"/>
        <v>0</v>
      </c>
      <c r="AC25" s="224">
        <f t="shared" si="4"/>
        <v>0</v>
      </c>
      <c r="AD25" s="224">
        <f t="shared" si="4"/>
        <v>0</v>
      </c>
      <c r="AE25" s="224">
        <f t="shared" si="4"/>
        <v>0</v>
      </c>
      <c r="AF25" s="224">
        <f t="shared" si="4"/>
        <v>0</v>
      </c>
      <c r="AG25" s="225">
        <f t="shared" si="4"/>
        <v>0</v>
      </c>
      <c r="AH25" s="199"/>
      <c r="AI25" s="226">
        <f t="shared" ref="AI25:AI36" si="5">+SUM(E25:AG25)</f>
        <v>1500</v>
      </c>
      <c r="AJ25" s="199"/>
    </row>
    <row r="26" spans="1:36" ht="15" x14ac:dyDescent="0.25">
      <c r="A26" s="247"/>
      <c r="B26" s="22" t="s">
        <v>49</v>
      </c>
      <c r="C26" s="202"/>
      <c r="E26" s="231">
        <f t="shared" ref="E26:T36" si="6">+E8*E$22</f>
        <v>0</v>
      </c>
      <c r="F26" s="232">
        <f t="shared" si="6"/>
        <v>0</v>
      </c>
      <c r="G26" s="232">
        <f t="shared" si="6"/>
        <v>0</v>
      </c>
      <c r="H26" s="232">
        <f t="shared" si="6"/>
        <v>0</v>
      </c>
      <c r="I26" s="232">
        <f t="shared" si="6"/>
        <v>0</v>
      </c>
      <c r="J26" s="232">
        <f t="shared" si="6"/>
        <v>0</v>
      </c>
      <c r="K26" s="232">
        <f t="shared" si="6"/>
        <v>0</v>
      </c>
      <c r="L26" s="232">
        <f t="shared" si="6"/>
        <v>0</v>
      </c>
      <c r="M26" s="232">
        <f t="shared" si="6"/>
        <v>0</v>
      </c>
      <c r="N26" s="232">
        <f t="shared" si="6"/>
        <v>0</v>
      </c>
      <c r="O26" s="232">
        <f t="shared" si="6"/>
        <v>0</v>
      </c>
      <c r="P26" s="232">
        <f t="shared" si="6"/>
        <v>0</v>
      </c>
      <c r="Q26" s="232">
        <f t="shared" si="6"/>
        <v>0</v>
      </c>
      <c r="R26" s="232">
        <f t="shared" si="6"/>
        <v>0</v>
      </c>
      <c r="S26" s="232">
        <f t="shared" si="6"/>
        <v>0</v>
      </c>
      <c r="T26" s="232">
        <f t="shared" si="6"/>
        <v>0</v>
      </c>
      <c r="U26" s="232">
        <f t="shared" si="4"/>
        <v>0</v>
      </c>
      <c r="V26" s="232">
        <f t="shared" si="4"/>
        <v>0</v>
      </c>
      <c r="W26" s="232">
        <f t="shared" si="4"/>
        <v>0</v>
      </c>
      <c r="X26" s="232">
        <f t="shared" si="4"/>
        <v>0</v>
      </c>
      <c r="Y26" s="232">
        <f t="shared" si="4"/>
        <v>0</v>
      </c>
      <c r="Z26" s="232">
        <f t="shared" si="4"/>
        <v>0</v>
      </c>
      <c r="AA26" s="232">
        <f t="shared" si="4"/>
        <v>0</v>
      </c>
      <c r="AB26" s="232">
        <f t="shared" si="4"/>
        <v>0</v>
      </c>
      <c r="AC26" s="232">
        <f t="shared" si="4"/>
        <v>0</v>
      </c>
      <c r="AD26" s="232">
        <f t="shared" si="4"/>
        <v>0</v>
      </c>
      <c r="AE26" s="232">
        <f t="shared" si="4"/>
        <v>0</v>
      </c>
      <c r="AF26" s="232">
        <f t="shared" si="4"/>
        <v>0</v>
      </c>
      <c r="AG26" s="233">
        <f t="shared" si="4"/>
        <v>0</v>
      </c>
      <c r="AH26" s="199"/>
      <c r="AI26" s="230">
        <f t="shared" si="5"/>
        <v>0</v>
      </c>
      <c r="AJ26" s="199"/>
    </row>
    <row r="27" spans="1:36" ht="15" x14ac:dyDescent="0.25">
      <c r="A27" s="248"/>
      <c r="B27" s="20" t="s">
        <v>100</v>
      </c>
      <c r="C27" s="202"/>
      <c r="E27" s="227">
        <f t="shared" si="6"/>
        <v>0</v>
      </c>
      <c r="F27" s="228">
        <f t="shared" si="4"/>
        <v>0</v>
      </c>
      <c r="G27" s="228">
        <f t="shared" si="4"/>
        <v>0</v>
      </c>
      <c r="H27" s="228">
        <f t="shared" si="4"/>
        <v>0</v>
      </c>
      <c r="I27" s="228">
        <f t="shared" si="4"/>
        <v>0</v>
      </c>
      <c r="J27" s="228">
        <f t="shared" si="4"/>
        <v>0</v>
      </c>
      <c r="K27" s="228">
        <f t="shared" si="4"/>
        <v>0</v>
      </c>
      <c r="L27" s="228">
        <f t="shared" si="4"/>
        <v>0</v>
      </c>
      <c r="M27" s="228">
        <f t="shared" si="4"/>
        <v>0</v>
      </c>
      <c r="N27" s="228">
        <f t="shared" si="4"/>
        <v>0</v>
      </c>
      <c r="O27" s="228">
        <f t="shared" si="4"/>
        <v>0</v>
      </c>
      <c r="P27" s="228">
        <f t="shared" si="4"/>
        <v>0</v>
      </c>
      <c r="Q27" s="228">
        <f t="shared" si="4"/>
        <v>0</v>
      </c>
      <c r="R27" s="228">
        <f t="shared" si="4"/>
        <v>0</v>
      </c>
      <c r="S27" s="228">
        <f t="shared" si="4"/>
        <v>0</v>
      </c>
      <c r="T27" s="228">
        <f t="shared" si="4"/>
        <v>0</v>
      </c>
      <c r="U27" s="228">
        <f t="shared" si="4"/>
        <v>0</v>
      </c>
      <c r="V27" s="228">
        <f t="shared" si="4"/>
        <v>0</v>
      </c>
      <c r="W27" s="228">
        <f t="shared" si="4"/>
        <v>0</v>
      </c>
      <c r="X27" s="228">
        <f t="shared" si="4"/>
        <v>0</v>
      </c>
      <c r="Y27" s="228">
        <f t="shared" si="4"/>
        <v>0</v>
      </c>
      <c r="Z27" s="228">
        <f t="shared" si="4"/>
        <v>0</v>
      </c>
      <c r="AA27" s="228">
        <f t="shared" si="4"/>
        <v>0</v>
      </c>
      <c r="AB27" s="228">
        <f t="shared" si="4"/>
        <v>0</v>
      </c>
      <c r="AC27" s="228">
        <f t="shared" si="4"/>
        <v>0</v>
      </c>
      <c r="AD27" s="228">
        <f t="shared" si="4"/>
        <v>0</v>
      </c>
      <c r="AE27" s="228">
        <f t="shared" si="4"/>
        <v>0</v>
      </c>
      <c r="AF27" s="228">
        <f t="shared" si="4"/>
        <v>0</v>
      </c>
      <c r="AG27" s="229">
        <f t="shared" si="4"/>
        <v>0</v>
      </c>
      <c r="AH27" s="199"/>
      <c r="AI27" s="234">
        <f t="shared" si="5"/>
        <v>0</v>
      </c>
      <c r="AJ27" s="199"/>
    </row>
    <row r="28" spans="1:36" ht="15" x14ac:dyDescent="0.25">
      <c r="A28" s="246" t="s">
        <v>17</v>
      </c>
      <c r="B28" s="19" t="s">
        <v>76</v>
      </c>
      <c r="C28" s="202"/>
      <c r="E28" s="223">
        <f t="shared" si="6"/>
        <v>75</v>
      </c>
      <c r="F28" s="224">
        <f t="shared" si="4"/>
        <v>0</v>
      </c>
      <c r="G28" s="224">
        <f t="shared" si="4"/>
        <v>0</v>
      </c>
      <c r="H28" s="224">
        <f t="shared" si="4"/>
        <v>0</v>
      </c>
      <c r="I28" s="224">
        <f t="shared" si="4"/>
        <v>0</v>
      </c>
      <c r="J28" s="224">
        <f t="shared" si="4"/>
        <v>0</v>
      </c>
      <c r="K28" s="224">
        <f t="shared" si="4"/>
        <v>0</v>
      </c>
      <c r="L28" s="224">
        <f t="shared" si="4"/>
        <v>0</v>
      </c>
      <c r="M28" s="224">
        <f t="shared" si="4"/>
        <v>0</v>
      </c>
      <c r="N28" s="224">
        <f t="shared" si="4"/>
        <v>0</v>
      </c>
      <c r="O28" s="224">
        <f t="shared" si="4"/>
        <v>0</v>
      </c>
      <c r="P28" s="224">
        <f t="shared" si="4"/>
        <v>0</v>
      </c>
      <c r="Q28" s="224">
        <f t="shared" si="4"/>
        <v>0</v>
      </c>
      <c r="R28" s="224">
        <f t="shared" si="4"/>
        <v>0</v>
      </c>
      <c r="S28" s="224">
        <f t="shared" si="4"/>
        <v>0</v>
      </c>
      <c r="T28" s="224">
        <f t="shared" si="4"/>
        <v>0</v>
      </c>
      <c r="U28" s="224">
        <f t="shared" si="4"/>
        <v>0</v>
      </c>
      <c r="V28" s="224">
        <f t="shared" si="4"/>
        <v>0</v>
      </c>
      <c r="W28" s="224">
        <f t="shared" si="4"/>
        <v>0</v>
      </c>
      <c r="X28" s="224">
        <f t="shared" si="4"/>
        <v>0</v>
      </c>
      <c r="Y28" s="224">
        <f t="shared" si="4"/>
        <v>0</v>
      </c>
      <c r="Z28" s="224">
        <f t="shared" si="4"/>
        <v>0</v>
      </c>
      <c r="AA28" s="224">
        <f t="shared" si="4"/>
        <v>0</v>
      </c>
      <c r="AB28" s="224">
        <f t="shared" si="4"/>
        <v>0</v>
      </c>
      <c r="AC28" s="224">
        <f t="shared" si="4"/>
        <v>0</v>
      </c>
      <c r="AD28" s="224">
        <f t="shared" si="4"/>
        <v>0</v>
      </c>
      <c r="AE28" s="224">
        <f t="shared" si="4"/>
        <v>0</v>
      </c>
      <c r="AF28" s="224">
        <f t="shared" si="4"/>
        <v>0</v>
      </c>
      <c r="AG28" s="225">
        <f t="shared" si="4"/>
        <v>0</v>
      </c>
      <c r="AH28" s="199"/>
      <c r="AI28" s="226">
        <f t="shared" si="5"/>
        <v>75</v>
      </c>
      <c r="AJ28" s="199"/>
    </row>
    <row r="29" spans="1:36" ht="15" x14ac:dyDescent="0.25">
      <c r="A29" s="247"/>
      <c r="B29" s="104" t="s">
        <v>31</v>
      </c>
      <c r="C29" s="202"/>
      <c r="E29" s="231">
        <f t="shared" si="6"/>
        <v>345</v>
      </c>
      <c r="F29" s="232">
        <f t="shared" si="4"/>
        <v>0</v>
      </c>
      <c r="G29" s="232">
        <f t="shared" si="4"/>
        <v>0</v>
      </c>
      <c r="H29" s="232">
        <f t="shared" si="4"/>
        <v>0</v>
      </c>
      <c r="I29" s="232">
        <f t="shared" si="4"/>
        <v>0</v>
      </c>
      <c r="J29" s="232">
        <f t="shared" si="4"/>
        <v>0</v>
      </c>
      <c r="K29" s="232">
        <f t="shared" si="4"/>
        <v>0</v>
      </c>
      <c r="L29" s="232">
        <f t="shared" si="4"/>
        <v>0</v>
      </c>
      <c r="M29" s="232">
        <f t="shared" si="4"/>
        <v>0</v>
      </c>
      <c r="N29" s="232">
        <f t="shared" si="4"/>
        <v>0</v>
      </c>
      <c r="O29" s="232">
        <f t="shared" si="4"/>
        <v>0</v>
      </c>
      <c r="P29" s="232">
        <f t="shared" si="4"/>
        <v>0</v>
      </c>
      <c r="Q29" s="232">
        <f t="shared" si="4"/>
        <v>0</v>
      </c>
      <c r="R29" s="232">
        <f t="shared" si="4"/>
        <v>0</v>
      </c>
      <c r="S29" s="232">
        <f t="shared" si="4"/>
        <v>0</v>
      </c>
      <c r="T29" s="232">
        <f t="shared" si="4"/>
        <v>0</v>
      </c>
      <c r="U29" s="232">
        <f t="shared" si="4"/>
        <v>0</v>
      </c>
      <c r="V29" s="232">
        <f t="shared" si="4"/>
        <v>0</v>
      </c>
      <c r="W29" s="232">
        <f t="shared" si="4"/>
        <v>0</v>
      </c>
      <c r="X29" s="232">
        <f t="shared" si="4"/>
        <v>0</v>
      </c>
      <c r="Y29" s="232">
        <f t="shared" si="4"/>
        <v>0</v>
      </c>
      <c r="Z29" s="232">
        <f t="shared" si="4"/>
        <v>0</v>
      </c>
      <c r="AA29" s="232">
        <f t="shared" si="4"/>
        <v>0</v>
      </c>
      <c r="AB29" s="232">
        <f t="shared" si="4"/>
        <v>0</v>
      </c>
      <c r="AC29" s="232">
        <f t="shared" si="4"/>
        <v>0</v>
      </c>
      <c r="AD29" s="232">
        <f t="shared" si="4"/>
        <v>0</v>
      </c>
      <c r="AE29" s="232">
        <f t="shared" si="4"/>
        <v>0</v>
      </c>
      <c r="AF29" s="232">
        <f t="shared" si="4"/>
        <v>0</v>
      </c>
      <c r="AG29" s="233">
        <f t="shared" si="4"/>
        <v>0</v>
      </c>
      <c r="AH29" s="199"/>
      <c r="AI29" s="230">
        <f t="shared" si="5"/>
        <v>345</v>
      </c>
      <c r="AJ29" s="199"/>
    </row>
    <row r="30" spans="1:36" ht="15" x14ac:dyDescent="0.25">
      <c r="A30" s="247"/>
      <c r="B30" s="104" t="s">
        <v>77</v>
      </c>
      <c r="C30" s="202"/>
      <c r="E30" s="231">
        <f t="shared" si="6"/>
        <v>330</v>
      </c>
      <c r="F30" s="232">
        <f t="shared" si="4"/>
        <v>0</v>
      </c>
      <c r="G30" s="232">
        <f t="shared" si="4"/>
        <v>0</v>
      </c>
      <c r="H30" s="232">
        <f t="shared" si="4"/>
        <v>0</v>
      </c>
      <c r="I30" s="232">
        <f t="shared" si="4"/>
        <v>0</v>
      </c>
      <c r="J30" s="232">
        <f t="shared" si="4"/>
        <v>0</v>
      </c>
      <c r="K30" s="232">
        <f t="shared" si="4"/>
        <v>0</v>
      </c>
      <c r="L30" s="232">
        <f t="shared" si="4"/>
        <v>0</v>
      </c>
      <c r="M30" s="232">
        <f t="shared" si="4"/>
        <v>0</v>
      </c>
      <c r="N30" s="232">
        <f t="shared" si="4"/>
        <v>0</v>
      </c>
      <c r="O30" s="232">
        <f t="shared" si="4"/>
        <v>0</v>
      </c>
      <c r="P30" s="232">
        <f t="shared" si="4"/>
        <v>0</v>
      </c>
      <c r="Q30" s="232">
        <f t="shared" si="4"/>
        <v>0</v>
      </c>
      <c r="R30" s="232">
        <f t="shared" si="4"/>
        <v>0</v>
      </c>
      <c r="S30" s="232">
        <f t="shared" si="4"/>
        <v>0</v>
      </c>
      <c r="T30" s="232">
        <f t="shared" si="4"/>
        <v>0</v>
      </c>
      <c r="U30" s="232">
        <f t="shared" si="4"/>
        <v>0</v>
      </c>
      <c r="V30" s="232">
        <f t="shared" si="4"/>
        <v>0</v>
      </c>
      <c r="W30" s="232">
        <f t="shared" si="4"/>
        <v>0</v>
      </c>
      <c r="X30" s="232">
        <f t="shared" si="4"/>
        <v>0</v>
      </c>
      <c r="Y30" s="232">
        <f t="shared" si="4"/>
        <v>0</v>
      </c>
      <c r="Z30" s="232">
        <f t="shared" si="4"/>
        <v>0</v>
      </c>
      <c r="AA30" s="232">
        <f t="shared" si="4"/>
        <v>0</v>
      </c>
      <c r="AB30" s="232">
        <f t="shared" si="4"/>
        <v>0</v>
      </c>
      <c r="AC30" s="232">
        <f t="shared" si="4"/>
        <v>0</v>
      </c>
      <c r="AD30" s="232">
        <f t="shared" si="4"/>
        <v>0</v>
      </c>
      <c r="AE30" s="232">
        <f t="shared" si="4"/>
        <v>0</v>
      </c>
      <c r="AF30" s="232">
        <f t="shared" si="4"/>
        <v>0</v>
      </c>
      <c r="AG30" s="233">
        <f t="shared" si="4"/>
        <v>0</v>
      </c>
      <c r="AH30" s="199"/>
      <c r="AI30" s="230">
        <f t="shared" si="5"/>
        <v>330</v>
      </c>
      <c r="AJ30" s="199"/>
    </row>
    <row r="31" spans="1:36" ht="15" x14ac:dyDescent="0.25">
      <c r="A31" s="247"/>
      <c r="B31" s="104" t="s">
        <v>30</v>
      </c>
      <c r="C31" s="202"/>
      <c r="E31" s="231">
        <f t="shared" si="6"/>
        <v>246.75</v>
      </c>
      <c r="F31" s="232">
        <f t="shared" si="4"/>
        <v>0</v>
      </c>
      <c r="G31" s="232">
        <f t="shared" si="4"/>
        <v>0</v>
      </c>
      <c r="H31" s="232">
        <f t="shared" si="4"/>
        <v>0</v>
      </c>
      <c r="I31" s="232">
        <f t="shared" si="4"/>
        <v>0</v>
      </c>
      <c r="J31" s="232">
        <f t="shared" si="4"/>
        <v>0</v>
      </c>
      <c r="K31" s="232">
        <f t="shared" si="4"/>
        <v>0</v>
      </c>
      <c r="L31" s="232">
        <f t="shared" si="4"/>
        <v>0</v>
      </c>
      <c r="M31" s="232">
        <f t="shared" si="4"/>
        <v>0</v>
      </c>
      <c r="N31" s="232">
        <f t="shared" si="4"/>
        <v>0</v>
      </c>
      <c r="O31" s="232">
        <f t="shared" si="4"/>
        <v>0</v>
      </c>
      <c r="P31" s="232">
        <f t="shared" si="4"/>
        <v>0</v>
      </c>
      <c r="Q31" s="232">
        <f t="shared" si="4"/>
        <v>0</v>
      </c>
      <c r="R31" s="232">
        <f t="shared" si="4"/>
        <v>0</v>
      </c>
      <c r="S31" s="232">
        <f t="shared" si="4"/>
        <v>0</v>
      </c>
      <c r="T31" s="232">
        <f t="shared" si="4"/>
        <v>0</v>
      </c>
      <c r="U31" s="232">
        <f t="shared" si="4"/>
        <v>0</v>
      </c>
      <c r="V31" s="232">
        <f t="shared" si="4"/>
        <v>0</v>
      </c>
      <c r="W31" s="232">
        <f t="shared" si="4"/>
        <v>0</v>
      </c>
      <c r="X31" s="232">
        <f t="shared" si="4"/>
        <v>0</v>
      </c>
      <c r="Y31" s="232">
        <f t="shared" si="4"/>
        <v>0</v>
      </c>
      <c r="Z31" s="232">
        <f t="shared" si="4"/>
        <v>0</v>
      </c>
      <c r="AA31" s="232">
        <f t="shared" si="4"/>
        <v>0</v>
      </c>
      <c r="AB31" s="232">
        <f t="shared" si="4"/>
        <v>0</v>
      </c>
      <c r="AC31" s="232">
        <f t="shared" si="4"/>
        <v>0</v>
      </c>
      <c r="AD31" s="232">
        <f t="shared" si="4"/>
        <v>0</v>
      </c>
      <c r="AE31" s="232">
        <f t="shared" si="4"/>
        <v>0</v>
      </c>
      <c r="AF31" s="232">
        <f t="shared" si="4"/>
        <v>0</v>
      </c>
      <c r="AG31" s="233">
        <f t="shared" si="4"/>
        <v>0</v>
      </c>
      <c r="AH31" s="199"/>
      <c r="AI31" s="230">
        <f t="shared" si="5"/>
        <v>246.75</v>
      </c>
      <c r="AJ31" s="199"/>
    </row>
    <row r="32" spans="1:36" ht="15" x14ac:dyDescent="0.25">
      <c r="A32" s="247"/>
      <c r="B32" s="104" t="s">
        <v>136</v>
      </c>
      <c r="C32" s="222"/>
      <c r="E32" s="231">
        <f t="shared" si="6"/>
        <v>75</v>
      </c>
      <c r="F32" s="232">
        <f t="shared" si="4"/>
        <v>67.5</v>
      </c>
      <c r="G32" s="232">
        <f t="shared" si="4"/>
        <v>67.5</v>
      </c>
      <c r="H32" s="232">
        <f t="shared" si="4"/>
        <v>67.5</v>
      </c>
      <c r="I32" s="232">
        <f t="shared" si="4"/>
        <v>67.5</v>
      </c>
      <c r="J32" s="232">
        <f t="shared" si="4"/>
        <v>67.5</v>
      </c>
      <c r="K32" s="232">
        <f t="shared" si="4"/>
        <v>0</v>
      </c>
      <c r="L32" s="232">
        <f t="shared" si="4"/>
        <v>0</v>
      </c>
      <c r="M32" s="232">
        <f t="shared" si="4"/>
        <v>0</v>
      </c>
      <c r="N32" s="232">
        <f t="shared" si="4"/>
        <v>0</v>
      </c>
      <c r="O32" s="232">
        <f t="shared" si="4"/>
        <v>0</v>
      </c>
      <c r="P32" s="232">
        <f t="shared" si="4"/>
        <v>0</v>
      </c>
      <c r="Q32" s="232">
        <f t="shared" si="4"/>
        <v>0</v>
      </c>
      <c r="R32" s="232">
        <f t="shared" si="4"/>
        <v>0</v>
      </c>
      <c r="S32" s="232">
        <f t="shared" si="4"/>
        <v>0</v>
      </c>
      <c r="T32" s="232">
        <f t="shared" si="4"/>
        <v>0</v>
      </c>
      <c r="U32" s="232">
        <f t="shared" si="4"/>
        <v>0</v>
      </c>
      <c r="V32" s="232">
        <f t="shared" si="4"/>
        <v>0</v>
      </c>
      <c r="W32" s="232">
        <f t="shared" si="4"/>
        <v>0</v>
      </c>
      <c r="X32" s="232">
        <f t="shared" si="4"/>
        <v>0</v>
      </c>
      <c r="Y32" s="232">
        <f t="shared" si="4"/>
        <v>0</v>
      </c>
      <c r="Z32" s="232">
        <f t="shared" si="4"/>
        <v>0</v>
      </c>
      <c r="AA32" s="232">
        <f t="shared" si="4"/>
        <v>0</v>
      </c>
      <c r="AB32" s="232">
        <f t="shared" si="4"/>
        <v>0</v>
      </c>
      <c r="AC32" s="232">
        <f t="shared" si="4"/>
        <v>0</v>
      </c>
      <c r="AD32" s="232">
        <f t="shared" si="4"/>
        <v>0</v>
      </c>
      <c r="AE32" s="232">
        <f t="shared" si="4"/>
        <v>0</v>
      </c>
      <c r="AF32" s="232">
        <f t="shared" si="4"/>
        <v>0</v>
      </c>
      <c r="AG32" s="233">
        <f t="shared" si="4"/>
        <v>0</v>
      </c>
      <c r="AH32" s="199"/>
      <c r="AI32" s="230">
        <f t="shared" si="5"/>
        <v>412.5</v>
      </c>
      <c r="AJ32" s="199"/>
    </row>
    <row r="33" spans="1:36" ht="15" x14ac:dyDescent="0.25">
      <c r="A33" s="248"/>
      <c r="B33" s="20" t="s">
        <v>101</v>
      </c>
      <c r="C33" s="222"/>
      <c r="E33" s="227">
        <f t="shared" si="6"/>
        <v>162.28874999999999</v>
      </c>
      <c r="F33" s="228">
        <f t="shared" si="4"/>
        <v>111.56123005376301</v>
      </c>
      <c r="G33" s="228">
        <f t="shared" si="4"/>
        <v>57.536421311020625</v>
      </c>
      <c r="H33" s="228">
        <f t="shared" si="4"/>
        <v>0</v>
      </c>
      <c r="I33" s="228">
        <f t="shared" si="4"/>
        <v>0</v>
      </c>
      <c r="J33" s="228">
        <f t="shared" si="4"/>
        <v>0</v>
      </c>
      <c r="K33" s="228">
        <f t="shared" si="4"/>
        <v>0</v>
      </c>
      <c r="L33" s="228">
        <f t="shared" si="4"/>
        <v>0</v>
      </c>
      <c r="M33" s="228">
        <f t="shared" si="4"/>
        <v>0</v>
      </c>
      <c r="N33" s="228">
        <f t="shared" si="4"/>
        <v>0</v>
      </c>
      <c r="O33" s="228">
        <f t="shared" si="4"/>
        <v>0</v>
      </c>
      <c r="P33" s="228">
        <f t="shared" si="4"/>
        <v>0</v>
      </c>
      <c r="Q33" s="228">
        <f t="shared" si="4"/>
        <v>0</v>
      </c>
      <c r="R33" s="228">
        <f t="shared" si="4"/>
        <v>0</v>
      </c>
      <c r="S33" s="228">
        <f t="shared" si="4"/>
        <v>0</v>
      </c>
      <c r="T33" s="228">
        <f t="shared" si="4"/>
        <v>0</v>
      </c>
      <c r="U33" s="228">
        <f t="shared" si="4"/>
        <v>0</v>
      </c>
      <c r="V33" s="228">
        <f t="shared" si="4"/>
        <v>0</v>
      </c>
      <c r="W33" s="228">
        <f t="shared" si="4"/>
        <v>0</v>
      </c>
      <c r="X33" s="228">
        <f t="shared" si="4"/>
        <v>0</v>
      </c>
      <c r="Y33" s="228">
        <f t="shared" si="4"/>
        <v>0</v>
      </c>
      <c r="Z33" s="228">
        <f t="shared" si="4"/>
        <v>0</v>
      </c>
      <c r="AA33" s="228">
        <f t="shared" si="4"/>
        <v>0</v>
      </c>
      <c r="AB33" s="228">
        <f t="shared" si="4"/>
        <v>0</v>
      </c>
      <c r="AC33" s="228">
        <f t="shared" si="4"/>
        <v>0</v>
      </c>
      <c r="AD33" s="228">
        <f t="shared" si="4"/>
        <v>0</v>
      </c>
      <c r="AE33" s="228">
        <f t="shared" si="4"/>
        <v>0</v>
      </c>
      <c r="AF33" s="228">
        <f t="shared" si="4"/>
        <v>0</v>
      </c>
      <c r="AG33" s="229">
        <f t="shared" si="4"/>
        <v>0</v>
      </c>
      <c r="AH33" s="199"/>
      <c r="AI33" s="234">
        <f t="shared" si="5"/>
        <v>331.38640136478364</v>
      </c>
      <c r="AJ33" s="199"/>
    </row>
    <row r="34" spans="1:36" ht="15" x14ac:dyDescent="0.25">
      <c r="A34" s="246" t="s">
        <v>18</v>
      </c>
      <c r="B34" s="104" t="s">
        <v>40</v>
      </c>
      <c r="C34" s="222"/>
      <c r="E34" s="223">
        <f t="shared" si="6"/>
        <v>10</v>
      </c>
      <c r="F34" s="224">
        <f t="shared" si="4"/>
        <v>10</v>
      </c>
      <c r="G34" s="224">
        <f t="shared" si="4"/>
        <v>10</v>
      </c>
      <c r="H34" s="224">
        <f t="shared" si="4"/>
        <v>10</v>
      </c>
      <c r="I34" s="224">
        <f t="shared" si="4"/>
        <v>10</v>
      </c>
      <c r="J34" s="224">
        <f t="shared" si="4"/>
        <v>10</v>
      </c>
      <c r="K34" s="224">
        <f t="shared" si="4"/>
        <v>0</v>
      </c>
      <c r="L34" s="224">
        <f t="shared" si="4"/>
        <v>0</v>
      </c>
      <c r="M34" s="224">
        <f t="shared" si="4"/>
        <v>0</v>
      </c>
      <c r="N34" s="224">
        <f t="shared" si="4"/>
        <v>0</v>
      </c>
      <c r="O34" s="224">
        <f t="shared" si="4"/>
        <v>0</v>
      </c>
      <c r="P34" s="224">
        <f t="shared" si="4"/>
        <v>0</v>
      </c>
      <c r="Q34" s="224">
        <f t="shared" si="4"/>
        <v>0</v>
      </c>
      <c r="R34" s="224">
        <f t="shared" si="4"/>
        <v>0</v>
      </c>
      <c r="S34" s="224">
        <f t="shared" si="4"/>
        <v>0</v>
      </c>
      <c r="T34" s="224">
        <f t="shared" si="4"/>
        <v>0</v>
      </c>
      <c r="U34" s="224">
        <f t="shared" si="4"/>
        <v>0</v>
      </c>
      <c r="V34" s="224">
        <f t="shared" si="4"/>
        <v>0</v>
      </c>
      <c r="W34" s="224">
        <f t="shared" si="4"/>
        <v>0</v>
      </c>
      <c r="X34" s="224">
        <f t="shared" ref="F34:AG36" si="7">+X16*X$22</f>
        <v>0</v>
      </c>
      <c r="Y34" s="224">
        <f t="shared" si="7"/>
        <v>0</v>
      </c>
      <c r="Z34" s="224">
        <f t="shared" si="7"/>
        <v>0</v>
      </c>
      <c r="AA34" s="224">
        <f t="shared" si="7"/>
        <v>0</v>
      </c>
      <c r="AB34" s="224">
        <f t="shared" si="7"/>
        <v>0</v>
      </c>
      <c r="AC34" s="224">
        <f t="shared" si="7"/>
        <v>0</v>
      </c>
      <c r="AD34" s="224">
        <f t="shared" si="7"/>
        <v>0</v>
      </c>
      <c r="AE34" s="224">
        <f t="shared" si="7"/>
        <v>0</v>
      </c>
      <c r="AF34" s="224">
        <f t="shared" si="7"/>
        <v>0</v>
      </c>
      <c r="AG34" s="225">
        <f t="shared" si="7"/>
        <v>0</v>
      </c>
      <c r="AH34" s="199"/>
      <c r="AI34" s="226">
        <f t="shared" si="5"/>
        <v>60</v>
      </c>
      <c r="AJ34" s="199"/>
    </row>
    <row r="35" spans="1:36" ht="15" x14ac:dyDescent="0.25">
      <c r="A35" s="248"/>
      <c r="B35" s="20" t="s">
        <v>102</v>
      </c>
      <c r="C35" s="222"/>
      <c r="E35" s="227">
        <f t="shared" si="6"/>
        <v>539.88714733542315</v>
      </c>
      <c r="F35" s="228">
        <f t="shared" si="7"/>
        <v>539.88714733542315</v>
      </c>
      <c r="G35" s="228">
        <f t="shared" si="7"/>
        <v>539.88714733542315</v>
      </c>
      <c r="H35" s="228">
        <f t="shared" si="7"/>
        <v>539.88714733542315</v>
      </c>
      <c r="I35" s="228">
        <f t="shared" si="7"/>
        <v>539.88714733542315</v>
      </c>
      <c r="J35" s="228">
        <f t="shared" si="7"/>
        <v>539.88714733542315</v>
      </c>
      <c r="K35" s="228">
        <f t="shared" si="7"/>
        <v>0</v>
      </c>
      <c r="L35" s="228">
        <f t="shared" si="7"/>
        <v>0</v>
      </c>
      <c r="M35" s="228">
        <f t="shared" si="7"/>
        <v>0</v>
      </c>
      <c r="N35" s="228">
        <f t="shared" si="7"/>
        <v>0</v>
      </c>
      <c r="O35" s="228">
        <f t="shared" si="7"/>
        <v>0</v>
      </c>
      <c r="P35" s="228">
        <f t="shared" si="7"/>
        <v>0</v>
      </c>
      <c r="Q35" s="228">
        <f t="shared" si="7"/>
        <v>0</v>
      </c>
      <c r="R35" s="228">
        <f t="shared" si="7"/>
        <v>0</v>
      </c>
      <c r="S35" s="228">
        <f t="shared" si="7"/>
        <v>0</v>
      </c>
      <c r="T35" s="228">
        <f t="shared" si="7"/>
        <v>0</v>
      </c>
      <c r="U35" s="228">
        <f t="shared" si="7"/>
        <v>0</v>
      </c>
      <c r="V35" s="228">
        <f t="shared" si="7"/>
        <v>0</v>
      </c>
      <c r="W35" s="228">
        <f t="shared" si="7"/>
        <v>0</v>
      </c>
      <c r="X35" s="228">
        <f t="shared" si="7"/>
        <v>0</v>
      </c>
      <c r="Y35" s="228">
        <f t="shared" si="7"/>
        <v>0</v>
      </c>
      <c r="Z35" s="228">
        <f t="shared" si="7"/>
        <v>0</v>
      </c>
      <c r="AA35" s="228">
        <f t="shared" si="7"/>
        <v>0</v>
      </c>
      <c r="AB35" s="228">
        <f t="shared" si="7"/>
        <v>0</v>
      </c>
      <c r="AC35" s="228">
        <f t="shared" si="7"/>
        <v>0</v>
      </c>
      <c r="AD35" s="228">
        <f t="shared" si="7"/>
        <v>0</v>
      </c>
      <c r="AE35" s="228">
        <f t="shared" si="7"/>
        <v>0</v>
      </c>
      <c r="AF35" s="228">
        <f t="shared" si="7"/>
        <v>0</v>
      </c>
      <c r="AG35" s="229">
        <f t="shared" si="7"/>
        <v>0</v>
      </c>
      <c r="AH35" s="199"/>
      <c r="AI35" s="234">
        <f t="shared" si="5"/>
        <v>3239.3228840125385</v>
      </c>
      <c r="AJ35" s="199"/>
    </row>
    <row r="36" spans="1:36" ht="15" x14ac:dyDescent="0.25">
      <c r="A36" s="64" t="s">
        <v>180</v>
      </c>
      <c r="B36" s="65" t="s">
        <v>104</v>
      </c>
      <c r="E36" s="227">
        <f t="shared" si="6"/>
        <v>102.8</v>
      </c>
      <c r="F36" s="228">
        <f t="shared" si="7"/>
        <v>102.8</v>
      </c>
      <c r="G36" s="228">
        <f t="shared" si="7"/>
        <v>102.8</v>
      </c>
      <c r="H36" s="228">
        <f t="shared" si="7"/>
        <v>102.8</v>
      </c>
      <c r="I36" s="228">
        <f t="shared" si="7"/>
        <v>102.8</v>
      </c>
      <c r="J36" s="228">
        <f t="shared" si="7"/>
        <v>102.8</v>
      </c>
      <c r="K36" s="228">
        <f t="shared" si="7"/>
        <v>0</v>
      </c>
      <c r="L36" s="228">
        <f t="shared" si="7"/>
        <v>0</v>
      </c>
      <c r="M36" s="228">
        <f t="shared" si="7"/>
        <v>0</v>
      </c>
      <c r="N36" s="228">
        <f t="shared" si="7"/>
        <v>0</v>
      </c>
      <c r="O36" s="228">
        <f t="shared" si="7"/>
        <v>0</v>
      </c>
      <c r="P36" s="228">
        <f t="shared" si="7"/>
        <v>0</v>
      </c>
      <c r="Q36" s="228">
        <f t="shared" si="7"/>
        <v>0</v>
      </c>
      <c r="R36" s="228">
        <f t="shared" si="7"/>
        <v>0</v>
      </c>
      <c r="S36" s="228">
        <f t="shared" si="7"/>
        <v>0</v>
      </c>
      <c r="T36" s="228">
        <f t="shared" si="7"/>
        <v>0</v>
      </c>
      <c r="U36" s="228">
        <f t="shared" si="7"/>
        <v>0</v>
      </c>
      <c r="V36" s="228">
        <f t="shared" si="7"/>
        <v>0</v>
      </c>
      <c r="W36" s="228">
        <f t="shared" si="7"/>
        <v>0</v>
      </c>
      <c r="X36" s="228">
        <f t="shared" si="7"/>
        <v>0</v>
      </c>
      <c r="Y36" s="228">
        <f t="shared" si="7"/>
        <v>0</v>
      </c>
      <c r="Z36" s="228">
        <f t="shared" si="7"/>
        <v>0</v>
      </c>
      <c r="AA36" s="228">
        <f t="shared" si="7"/>
        <v>0</v>
      </c>
      <c r="AB36" s="228">
        <f t="shared" si="7"/>
        <v>0</v>
      </c>
      <c r="AC36" s="228">
        <f t="shared" si="7"/>
        <v>0</v>
      </c>
      <c r="AD36" s="228">
        <f t="shared" si="7"/>
        <v>0</v>
      </c>
      <c r="AE36" s="228">
        <f t="shared" si="7"/>
        <v>0</v>
      </c>
      <c r="AF36" s="228">
        <f t="shared" si="7"/>
        <v>0</v>
      </c>
      <c r="AG36" s="229">
        <f t="shared" si="7"/>
        <v>0</v>
      </c>
      <c r="AI36" s="232">
        <f t="shared" si="5"/>
        <v>616.79999999999995</v>
      </c>
      <c r="AJ36" s="199"/>
    </row>
    <row r="37" spans="1:36" ht="14.45" customHeight="1" x14ac:dyDescent="0.25">
      <c r="B37" s="197" t="s">
        <v>179</v>
      </c>
      <c r="C37" s="202"/>
      <c r="E37" s="235">
        <f t="shared" ref="E37:AG37" si="8">SUM(E25:E36)</f>
        <v>3386.7258973354237</v>
      </c>
      <c r="F37" s="235">
        <f t="shared" si="8"/>
        <v>831.74837738918609</v>
      </c>
      <c r="G37" s="235">
        <f t="shared" si="8"/>
        <v>777.72356864644371</v>
      </c>
      <c r="H37" s="235">
        <f t="shared" si="8"/>
        <v>720.18714733542311</v>
      </c>
      <c r="I37" s="235">
        <f t="shared" si="8"/>
        <v>720.18714733542311</v>
      </c>
      <c r="J37" s="235">
        <f t="shared" si="8"/>
        <v>720.18714733542311</v>
      </c>
      <c r="K37" s="235">
        <f t="shared" si="8"/>
        <v>0</v>
      </c>
      <c r="L37" s="235">
        <f t="shared" si="8"/>
        <v>0</v>
      </c>
      <c r="M37" s="235">
        <f t="shared" si="8"/>
        <v>0</v>
      </c>
      <c r="N37" s="235">
        <f t="shared" si="8"/>
        <v>0</v>
      </c>
      <c r="O37" s="235">
        <f t="shared" si="8"/>
        <v>0</v>
      </c>
      <c r="P37" s="235">
        <f t="shared" si="8"/>
        <v>0</v>
      </c>
      <c r="Q37" s="235">
        <f t="shared" si="8"/>
        <v>0</v>
      </c>
      <c r="R37" s="235">
        <f t="shared" si="8"/>
        <v>0</v>
      </c>
      <c r="S37" s="235">
        <f t="shared" si="8"/>
        <v>0</v>
      </c>
      <c r="T37" s="235">
        <f t="shared" si="8"/>
        <v>0</v>
      </c>
      <c r="U37" s="235">
        <f t="shared" si="8"/>
        <v>0</v>
      </c>
      <c r="V37" s="235">
        <f t="shared" si="8"/>
        <v>0</v>
      </c>
      <c r="W37" s="235">
        <f t="shared" si="8"/>
        <v>0</v>
      </c>
      <c r="X37" s="235">
        <f t="shared" si="8"/>
        <v>0</v>
      </c>
      <c r="Y37" s="235">
        <f t="shared" si="8"/>
        <v>0</v>
      </c>
      <c r="Z37" s="235">
        <f t="shared" si="8"/>
        <v>0</v>
      </c>
      <c r="AA37" s="235">
        <f t="shared" si="8"/>
        <v>0</v>
      </c>
      <c r="AB37" s="235">
        <f t="shared" si="8"/>
        <v>0</v>
      </c>
      <c r="AC37" s="235">
        <f t="shared" si="8"/>
        <v>0</v>
      </c>
      <c r="AD37" s="235">
        <f t="shared" si="8"/>
        <v>0</v>
      </c>
      <c r="AE37" s="235">
        <f t="shared" si="8"/>
        <v>0</v>
      </c>
      <c r="AF37" s="235">
        <f t="shared" si="8"/>
        <v>0</v>
      </c>
      <c r="AG37" s="235">
        <f t="shared" si="8"/>
        <v>0</v>
      </c>
      <c r="AH37" s="199"/>
      <c r="AI37" s="236">
        <f>+SUM(E37:AG37)</f>
        <v>7156.7592853773231</v>
      </c>
    </row>
    <row r="38" spans="1:36" ht="14.45" customHeight="1" x14ac:dyDescent="0.25"/>
    <row r="39" spans="1:36" ht="14.45" customHeight="1" x14ac:dyDescent="0.25"/>
    <row r="40" spans="1:36" ht="14.45" customHeight="1" x14ac:dyDescent="0.25"/>
    <row r="41" spans="1:36" ht="14.45" customHeight="1" x14ac:dyDescent="0.25">
      <c r="A41" s="250" t="s">
        <v>185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</row>
    <row r="42" spans="1:36" ht="14.45" customHeight="1" x14ac:dyDescent="0.25">
      <c r="A42" s="190"/>
      <c r="E42" s="198">
        <v>0</v>
      </c>
      <c r="F42" s="198">
        <v>1</v>
      </c>
      <c r="G42" s="198">
        <v>2</v>
      </c>
      <c r="H42" s="198">
        <v>3</v>
      </c>
      <c r="I42" s="198">
        <v>4</v>
      </c>
      <c r="J42" s="198">
        <v>5</v>
      </c>
      <c r="K42" s="198">
        <v>6</v>
      </c>
      <c r="L42" s="198">
        <v>7</v>
      </c>
      <c r="M42" s="198">
        <v>8</v>
      </c>
      <c r="N42" s="198">
        <v>9</v>
      </c>
      <c r="O42" s="198">
        <v>10</v>
      </c>
      <c r="P42" s="198">
        <v>11</v>
      </c>
      <c r="Q42" s="198">
        <v>12</v>
      </c>
      <c r="R42" s="198">
        <v>13</v>
      </c>
      <c r="S42" s="198">
        <v>14</v>
      </c>
      <c r="T42" s="198">
        <v>15</v>
      </c>
      <c r="U42" s="198">
        <v>16</v>
      </c>
      <c r="V42" s="198">
        <v>17</v>
      </c>
      <c r="W42" s="198">
        <v>18</v>
      </c>
      <c r="X42" s="198">
        <v>19</v>
      </c>
      <c r="Y42" s="198">
        <v>20</v>
      </c>
      <c r="Z42" s="198">
        <v>21</v>
      </c>
      <c r="AA42" s="198">
        <v>22</v>
      </c>
      <c r="AB42" s="198">
        <v>23</v>
      </c>
      <c r="AC42" s="198">
        <v>24</v>
      </c>
      <c r="AD42" s="198">
        <v>25</v>
      </c>
      <c r="AE42" s="198">
        <v>26</v>
      </c>
      <c r="AF42" s="198">
        <v>27</v>
      </c>
      <c r="AG42" s="198">
        <v>28</v>
      </c>
    </row>
    <row r="43" spans="1:36" ht="14.45" customHeight="1" x14ac:dyDescent="0.25">
      <c r="A43" s="254" t="s">
        <v>178</v>
      </c>
      <c r="B43" s="254"/>
      <c r="C43" s="197" t="s">
        <v>1</v>
      </c>
      <c r="E43" s="200">
        <v>2022</v>
      </c>
      <c r="F43" s="200">
        <f>+E43+1</f>
        <v>2023</v>
      </c>
      <c r="G43" s="201">
        <f t="shared" ref="G43" si="9">+F43+1</f>
        <v>2024</v>
      </c>
      <c r="H43" s="201">
        <f t="shared" ref="H43" si="10">+G43+1</f>
        <v>2025</v>
      </c>
      <c r="I43" s="201">
        <f t="shared" ref="I43" si="11">+H43+1</f>
        <v>2026</v>
      </c>
      <c r="J43" s="201">
        <f t="shared" ref="J43" si="12">+I43+1</f>
        <v>2027</v>
      </c>
      <c r="K43" s="201">
        <f t="shared" ref="K43" si="13">+J43+1</f>
        <v>2028</v>
      </c>
      <c r="L43" s="201">
        <f t="shared" ref="L43" si="14">+K43+1</f>
        <v>2029</v>
      </c>
      <c r="M43" s="201">
        <f t="shared" ref="M43" si="15">+L43+1</f>
        <v>2030</v>
      </c>
      <c r="N43" s="201">
        <f t="shared" ref="N43" si="16">+M43+1</f>
        <v>2031</v>
      </c>
      <c r="O43" s="201">
        <f t="shared" ref="O43" si="17">+N43+1</f>
        <v>2032</v>
      </c>
      <c r="P43" s="201">
        <f t="shared" ref="P43" si="18">+O43+1</f>
        <v>2033</v>
      </c>
      <c r="Q43" s="201">
        <f t="shared" ref="Q43" si="19">+P43+1</f>
        <v>2034</v>
      </c>
      <c r="R43" s="201">
        <f t="shared" ref="R43" si="20">+Q43+1</f>
        <v>2035</v>
      </c>
      <c r="S43" s="201">
        <f t="shared" ref="S43" si="21">+R43+1</f>
        <v>2036</v>
      </c>
      <c r="T43" s="201">
        <f t="shared" ref="T43" si="22">+S43+1</f>
        <v>2037</v>
      </c>
      <c r="U43" s="201">
        <f t="shared" ref="U43" si="23">+T43+1</f>
        <v>2038</v>
      </c>
      <c r="V43" s="201">
        <f t="shared" ref="V43" si="24">+U43+1</f>
        <v>2039</v>
      </c>
      <c r="W43" s="201">
        <f t="shared" ref="W43" si="25">+V43+1</f>
        <v>2040</v>
      </c>
      <c r="X43" s="201">
        <f t="shared" ref="X43" si="26">+W43+1</f>
        <v>2041</v>
      </c>
      <c r="Y43" s="201">
        <f t="shared" ref="Y43" si="27">+X43+1</f>
        <v>2042</v>
      </c>
      <c r="Z43" s="201">
        <f t="shared" ref="Z43" si="28">+Y43+1</f>
        <v>2043</v>
      </c>
      <c r="AA43" s="201">
        <f t="shared" ref="AA43" si="29">+Z43+1</f>
        <v>2044</v>
      </c>
      <c r="AB43" s="201">
        <f t="shared" ref="AB43" si="30">+AA43+1</f>
        <v>2045</v>
      </c>
      <c r="AC43" s="201">
        <f t="shared" ref="AC43" si="31">+AB43+1</f>
        <v>2046</v>
      </c>
      <c r="AD43" s="201">
        <f t="shared" ref="AD43" si="32">+AC43+1</f>
        <v>2047</v>
      </c>
      <c r="AE43" s="201">
        <f t="shared" ref="AE43" si="33">+AD43+1</f>
        <v>2048</v>
      </c>
      <c r="AF43" s="201">
        <f t="shared" ref="AF43" si="34">+AE43+1</f>
        <v>2049</v>
      </c>
      <c r="AG43" s="201">
        <f t="shared" ref="AG43" si="35">+AF43+1</f>
        <v>2050</v>
      </c>
      <c r="AI43" s="201" t="s">
        <v>179</v>
      </c>
    </row>
    <row r="44" spans="1:36" ht="14.45" customHeight="1" x14ac:dyDescent="0.25">
      <c r="A44" s="246" t="s">
        <v>16</v>
      </c>
      <c r="B44" s="19" t="s">
        <v>155</v>
      </c>
      <c r="C44" s="202"/>
      <c r="E44" s="203">
        <f>CTP!E4</f>
        <v>3000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204">
        <v>0</v>
      </c>
      <c r="M44" s="204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4">
        <v>0</v>
      </c>
      <c r="W44" s="204">
        <v>0</v>
      </c>
      <c r="X44" s="204">
        <v>0</v>
      </c>
      <c r="Y44" s="204">
        <v>0</v>
      </c>
      <c r="Z44" s="204">
        <v>0</v>
      </c>
      <c r="AA44" s="204">
        <v>0</v>
      </c>
      <c r="AB44" s="204">
        <v>0</v>
      </c>
      <c r="AC44" s="204">
        <v>0</v>
      </c>
      <c r="AD44" s="204">
        <v>0</v>
      </c>
      <c r="AE44" s="204">
        <v>0</v>
      </c>
      <c r="AF44" s="204">
        <v>0</v>
      </c>
      <c r="AG44" s="205">
        <v>0</v>
      </c>
      <c r="AH44" s="199"/>
      <c r="AI44" s="206">
        <f>+SUM(E44:AG44)</f>
        <v>3000</v>
      </c>
    </row>
    <row r="45" spans="1:36" ht="14.45" customHeight="1" x14ac:dyDescent="0.25">
      <c r="A45" s="247"/>
      <c r="B45" s="22" t="s">
        <v>49</v>
      </c>
      <c r="C45" s="202"/>
      <c r="E45" s="207">
        <f>CTP!E5</f>
        <v>50</v>
      </c>
      <c r="F45" s="208">
        <v>0</v>
      </c>
      <c r="G45" s="208">
        <v>0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8">
        <v>0</v>
      </c>
      <c r="S45" s="208">
        <v>0</v>
      </c>
      <c r="T45" s="208">
        <v>0</v>
      </c>
      <c r="U45" s="208">
        <v>0</v>
      </c>
      <c r="V45" s="208">
        <v>0</v>
      </c>
      <c r="W45" s="208">
        <v>0</v>
      </c>
      <c r="X45" s="208">
        <v>0</v>
      </c>
      <c r="Y45" s="208">
        <v>0</v>
      </c>
      <c r="Z45" s="208">
        <v>0</v>
      </c>
      <c r="AA45" s="208">
        <v>0</v>
      </c>
      <c r="AB45" s="208">
        <v>0</v>
      </c>
      <c r="AC45" s="208">
        <v>0</v>
      </c>
      <c r="AD45" s="208">
        <v>0</v>
      </c>
      <c r="AE45" s="208">
        <v>0</v>
      </c>
      <c r="AF45" s="208">
        <v>0</v>
      </c>
      <c r="AG45" s="209">
        <v>0</v>
      </c>
      <c r="AH45" s="199"/>
      <c r="AI45" s="210">
        <f t="shared" ref="AI45:AI53" si="36">+SUM(E45:AG45)</f>
        <v>50</v>
      </c>
    </row>
    <row r="46" spans="1:36" ht="14.45" customHeight="1" x14ac:dyDescent="0.25">
      <c r="A46" s="248"/>
      <c r="B46" s="20" t="s">
        <v>100</v>
      </c>
      <c r="C46" s="202"/>
      <c r="E46" s="211">
        <f>CTP!E6</f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0</v>
      </c>
      <c r="X46" s="212">
        <v>0</v>
      </c>
      <c r="Y46" s="212">
        <v>0</v>
      </c>
      <c r="Z46" s="212">
        <v>0</v>
      </c>
      <c r="AA46" s="212">
        <v>0</v>
      </c>
      <c r="AB46" s="212">
        <v>0</v>
      </c>
      <c r="AC46" s="212">
        <v>0</v>
      </c>
      <c r="AD46" s="212">
        <v>0</v>
      </c>
      <c r="AE46" s="212">
        <v>0</v>
      </c>
      <c r="AF46" s="212">
        <v>0</v>
      </c>
      <c r="AG46" s="213">
        <v>0</v>
      </c>
      <c r="AH46" s="199"/>
      <c r="AI46" s="214">
        <f t="shared" si="36"/>
        <v>0</v>
      </c>
    </row>
    <row r="47" spans="1:36" ht="14.45" customHeight="1" x14ac:dyDescent="0.25">
      <c r="A47" s="246" t="s">
        <v>17</v>
      </c>
      <c r="B47" s="19" t="s">
        <v>76</v>
      </c>
      <c r="C47" s="202"/>
      <c r="E47" s="203">
        <f>CTP!E7</f>
        <v>150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4">
        <v>0</v>
      </c>
      <c r="W47" s="204">
        <v>0</v>
      </c>
      <c r="X47" s="204">
        <v>0</v>
      </c>
      <c r="Y47" s="204">
        <v>0</v>
      </c>
      <c r="Z47" s="204">
        <v>0</v>
      </c>
      <c r="AA47" s="204">
        <v>0</v>
      </c>
      <c r="AB47" s="204">
        <v>0</v>
      </c>
      <c r="AC47" s="204">
        <v>0</v>
      </c>
      <c r="AD47" s="204">
        <v>0</v>
      </c>
      <c r="AE47" s="204">
        <v>0</v>
      </c>
      <c r="AF47" s="204">
        <v>0</v>
      </c>
      <c r="AG47" s="205">
        <v>0</v>
      </c>
      <c r="AH47" s="199"/>
      <c r="AI47" s="206">
        <f t="shared" si="36"/>
        <v>150</v>
      </c>
    </row>
    <row r="48" spans="1:36" ht="14.45" customHeight="1" x14ac:dyDescent="0.25">
      <c r="A48" s="247"/>
      <c r="B48" s="104" t="s">
        <v>31</v>
      </c>
      <c r="C48" s="202"/>
      <c r="E48" s="207">
        <f>CTP!E8</f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f>[1]CTP!$C$7</f>
        <v>0</v>
      </c>
      <c r="N48" s="208">
        <v>0</v>
      </c>
      <c r="O48" s="208">
        <v>0</v>
      </c>
      <c r="P48" s="208">
        <v>0</v>
      </c>
      <c r="Q48" s="208">
        <v>0</v>
      </c>
      <c r="R48" s="208">
        <v>0</v>
      </c>
      <c r="S48" s="208">
        <v>0</v>
      </c>
      <c r="T48" s="208">
        <v>0</v>
      </c>
      <c r="U48" s="208">
        <v>0</v>
      </c>
      <c r="V48" s="208">
        <v>0</v>
      </c>
      <c r="W48" s="208">
        <v>0</v>
      </c>
      <c r="X48" s="208">
        <v>0</v>
      </c>
      <c r="Y48" s="208">
        <v>0</v>
      </c>
      <c r="Z48" s="208">
        <v>0</v>
      </c>
      <c r="AA48" s="208">
        <v>0</v>
      </c>
      <c r="AB48" s="208">
        <v>0</v>
      </c>
      <c r="AC48" s="208">
        <v>0</v>
      </c>
      <c r="AD48" s="208">
        <v>0</v>
      </c>
      <c r="AE48" s="208">
        <v>0</v>
      </c>
      <c r="AF48" s="208">
        <v>0</v>
      </c>
      <c r="AG48" s="209">
        <v>0</v>
      </c>
      <c r="AH48" s="199"/>
      <c r="AI48" s="210">
        <f t="shared" si="36"/>
        <v>0</v>
      </c>
    </row>
    <row r="49" spans="1:35" ht="14.45" customHeight="1" x14ac:dyDescent="0.25">
      <c r="A49" s="247"/>
      <c r="B49" s="104" t="s">
        <v>77</v>
      </c>
      <c r="C49" s="202"/>
      <c r="E49" s="207">
        <f>CTP!E9</f>
        <v>660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  <c r="P49" s="208">
        <v>0</v>
      </c>
      <c r="Q49" s="208">
        <v>0</v>
      </c>
      <c r="R49" s="208">
        <v>0</v>
      </c>
      <c r="S49" s="208">
        <v>0</v>
      </c>
      <c r="T49" s="208">
        <v>0</v>
      </c>
      <c r="U49" s="208">
        <v>0</v>
      </c>
      <c r="V49" s="208">
        <v>0</v>
      </c>
      <c r="W49" s="208">
        <v>0</v>
      </c>
      <c r="X49" s="208">
        <v>0</v>
      </c>
      <c r="Y49" s="208">
        <v>0</v>
      </c>
      <c r="Z49" s="208">
        <v>0</v>
      </c>
      <c r="AA49" s="208">
        <v>0</v>
      </c>
      <c r="AB49" s="208">
        <v>0</v>
      </c>
      <c r="AC49" s="208">
        <v>0</v>
      </c>
      <c r="AD49" s="208">
        <v>0</v>
      </c>
      <c r="AE49" s="208">
        <v>0</v>
      </c>
      <c r="AF49" s="208">
        <v>0</v>
      </c>
      <c r="AG49" s="209">
        <v>0</v>
      </c>
      <c r="AH49" s="199"/>
      <c r="AI49" s="210">
        <f t="shared" si="36"/>
        <v>660</v>
      </c>
    </row>
    <row r="50" spans="1:35" ht="14.45" customHeight="1" x14ac:dyDescent="0.25">
      <c r="A50" s="247"/>
      <c r="B50" s="104" t="s">
        <v>30</v>
      </c>
      <c r="C50" s="202"/>
      <c r="E50" s="207">
        <f>CTP!E10</f>
        <v>34.5</v>
      </c>
      <c r="F50" s="208">
        <v>0</v>
      </c>
      <c r="G50" s="208">
        <v>0</v>
      </c>
      <c r="H50" s="208">
        <v>0</v>
      </c>
      <c r="I50" s="208">
        <v>0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  <c r="P50" s="208">
        <v>0</v>
      </c>
      <c r="Q50" s="208">
        <v>0</v>
      </c>
      <c r="R50" s="208">
        <v>0</v>
      </c>
      <c r="S50" s="208">
        <v>0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208">
        <v>0</v>
      </c>
      <c r="AB50" s="208">
        <v>0</v>
      </c>
      <c r="AC50" s="208">
        <v>0</v>
      </c>
      <c r="AD50" s="208">
        <v>0</v>
      </c>
      <c r="AE50" s="208">
        <v>0</v>
      </c>
      <c r="AF50" s="208">
        <v>0</v>
      </c>
      <c r="AG50" s="209">
        <v>0</v>
      </c>
      <c r="AH50" s="199"/>
      <c r="AI50" s="210">
        <f t="shared" si="36"/>
        <v>34.5</v>
      </c>
    </row>
    <row r="51" spans="1:35" ht="14.45" customHeight="1" x14ac:dyDescent="0.25">
      <c r="A51" s="247"/>
      <c r="B51" s="104" t="s">
        <v>136</v>
      </c>
      <c r="C51" s="202"/>
      <c r="E51" s="207">
        <f>Parametros!$C$120*CTP!$E$4</f>
        <v>0</v>
      </c>
      <c r="F51" s="208">
        <f>Parametros!$C$121*CTP!$E$4</f>
        <v>0</v>
      </c>
      <c r="G51" s="208">
        <f>Parametros!$C$121*CTP!$E$4</f>
        <v>0</v>
      </c>
      <c r="H51" s="208">
        <f>Parametros!$C$121*CTP!$E$4</f>
        <v>0</v>
      </c>
      <c r="I51" s="208">
        <f>Parametros!$C$121*CTP!$E$4</f>
        <v>0</v>
      </c>
      <c r="J51" s="208">
        <f>Parametros!$C$121*CTP!$E$4</f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208">
        <v>0</v>
      </c>
      <c r="T51" s="208">
        <v>0</v>
      </c>
      <c r="U51" s="208">
        <v>0</v>
      </c>
      <c r="V51" s="208">
        <v>0</v>
      </c>
      <c r="W51" s="208">
        <v>0</v>
      </c>
      <c r="X51" s="208">
        <v>0</v>
      </c>
      <c r="Y51" s="208">
        <v>0</v>
      </c>
      <c r="Z51" s="208">
        <v>0</v>
      </c>
      <c r="AA51" s="208">
        <v>0</v>
      </c>
      <c r="AB51" s="208">
        <v>0</v>
      </c>
      <c r="AC51" s="208">
        <v>0</v>
      </c>
      <c r="AD51" s="208">
        <v>0</v>
      </c>
      <c r="AE51" s="208">
        <v>0</v>
      </c>
      <c r="AF51" s="208">
        <v>0</v>
      </c>
      <c r="AG51" s="209">
        <v>0</v>
      </c>
      <c r="AH51" s="199"/>
      <c r="AI51" s="210">
        <f t="shared" si="36"/>
        <v>0</v>
      </c>
    </row>
    <row r="52" spans="1:35" ht="14.45" customHeight="1" x14ac:dyDescent="0.25">
      <c r="A52" s="248"/>
      <c r="B52" s="20" t="s">
        <v>101</v>
      </c>
      <c r="C52" s="202"/>
      <c r="E52" s="215">
        <f>-IPMT(Parametros!$C$54,1,Parametros!$C$52,(SUM(CTP!$E$4,CTP!$E$7:$E$10)))</f>
        <v>224.90325000000001</v>
      </c>
      <c r="F52" s="216">
        <f>-IPMT(Parametros!$C$54,2,Parametros!$C$52,(SUM(CTP!$E$4,CTP!$E$7:$E$10)))</f>
        <v>154.15497989053131</v>
      </c>
      <c r="G52" s="216">
        <f>-IPMT(Parametros!$C$54,3,Parametros!$C$52,(SUM(CTP!$E$4,CTP!$E$7:$E$10)))</f>
        <v>79.267935979658688</v>
      </c>
      <c r="H52" s="212">
        <v>0</v>
      </c>
      <c r="I52" s="212">
        <v>0</v>
      </c>
      <c r="J52" s="212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0</v>
      </c>
      <c r="X52" s="212">
        <v>0</v>
      </c>
      <c r="Y52" s="212">
        <v>0</v>
      </c>
      <c r="Z52" s="212">
        <v>0</v>
      </c>
      <c r="AA52" s="212">
        <v>0</v>
      </c>
      <c r="AB52" s="212">
        <v>0</v>
      </c>
      <c r="AC52" s="212">
        <v>0</v>
      </c>
      <c r="AD52" s="212">
        <v>0</v>
      </c>
      <c r="AE52" s="212">
        <v>0</v>
      </c>
      <c r="AF52" s="212">
        <v>0</v>
      </c>
      <c r="AG52" s="213">
        <v>0</v>
      </c>
      <c r="AH52" s="199"/>
      <c r="AI52" s="214">
        <f t="shared" si="36"/>
        <v>458.32616587019004</v>
      </c>
    </row>
    <row r="53" spans="1:35" ht="14.45" customHeight="1" x14ac:dyDescent="0.25">
      <c r="A53" s="246" t="s">
        <v>18</v>
      </c>
      <c r="B53" s="104" t="s">
        <v>40</v>
      </c>
      <c r="C53" s="202"/>
      <c r="E53" s="203">
        <f>Parametros!$C$22*Parametros!$C$40</f>
        <v>7</v>
      </c>
      <c r="F53" s="204">
        <f>Parametros!$C$22*Parametros!$C$40</f>
        <v>7</v>
      </c>
      <c r="G53" s="204">
        <f>Parametros!$C$22*Parametros!$C$40</f>
        <v>7</v>
      </c>
      <c r="H53" s="204">
        <f>Parametros!$C$22*Parametros!$C$40</f>
        <v>7</v>
      </c>
      <c r="I53" s="204">
        <f>Parametros!$C$22*Parametros!$C$40</f>
        <v>7</v>
      </c>
      <c r="J53" s="204">
        <f>Parametros!$C$22*Parametros!$C$40</f>
        <v>7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0</v>
      </c>
      <c r="S53" s="204">
        <v>0</v>
      </c>
      <c r="T53" s="204">
        <v>0</v>
      </c>
      <c r="U53" s="204">
        <v>0</v>
      </c>
      <c r="V53" s="204">
        <v>0</v>
      </c>
      <c r="W53" s="20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4">
        <v>0</v>
      </c>
      <c r="AD53" s="204">
        <v>0</v>
      </c>
      <c r="AE53" s="204">
        <v>0</v>
      </c>
      <c r="AF53" s="204">
        <v>0</v>
      </c>
      <c r="AG53" s="205">
        <v>0</v>
      </c>
      <c r="AH53" s="199"/>
      <c r="AI53" s="206">
        <f t="shared" si="36"/>
        <v>42</v>
      </c>
    </row>
    <row r="54" spans="1:35" ht="14.45" customHeight="1" x14ac:dyDescent="0.25">
      <c r="A54" s="248"/>
      <c r="B54" s="20" t="s">
        <v>102</v>
      </c>
      <c r="C54" s="202"/>
      <c r="E54" s="215">
        <f>Parametros!F72</f>
        <v>17.237777142857144</v>
      </c>
      <c r="F54" s="216">
        <f>Parametros!F73</f>
        <v>17.237777142857144</v>
      </c>
      <c r="G54" s="216">
        <f>Parametros!F74</f>
        <v>17.237777142857144</v>
      </c>
      <c r="H54" s="212">
        <f>Parametros!F75</f>
        <v>17.237777142857144</v>
      </c>
      <c r="I54" s="212">
        <f>Parametros!F76</f>
        <v>17.237777142857144</v>
      </c>
      <c r="J54" s="212">
        <f>Parametros!F77</f>
        <v>17.237777142857144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0</v>
      </c>
      <c r="S54" s="212">
        <v>0</v>
      </c>
      <c r="T54" s="212">
        <v>0</v>
      </c>
      <c r="U54" s="212">
        <v>0</v>
      </c>
      <c r="V54" s="212">
        <v>0</v>
      </c>
      <c r="W54" s="212">
        <v>0</v>
      </c>
      <c r="X54" s="212">
        <v>0</v>
      </c>
      <c r="Y54" s="212">
        <v>0</v>
      </c>
      <c r="Z54" s="212">
        <v>0</v>
      </c>
      <c r="AA54" s="212">
        <v>0</v>
      </c>
      <c r="AB54" s="212">
        <v>0</v>
      </c>
      <c r="AC54" s="212">
        <v>0</v>
      </c>
      <c r="AD54" s="212">
        <v>0</v>
      </c>
      <c r="AE54" s="212">
        <v>0</v>
      </c>
      <c r="AF54" s="212">
        <v>0</v>
      </c>
      <c r="AG54" s="213">
        <v>0</v>
      </c>
      <c r="AH54" s="199"/>
      <c r="AI54" s="214">
        <f>+SUM(E54:AG54)</f>
        <v>103.42666285714286</v>
      </c>
    </row>
    <row r="55" spans="1:35" ht="14.45" customHeight="1" x14ac:dyDescent="0.25">
      <c r="A55" s="64" t="s">
        <v>180</v>
      </c>
      <c r="B55" s="65" t="s">
        <v>104</v>
      </c>
      <c r="C55" s="202"/>
      <c r="E55" s="215">
        <f>Parametros!$C$126*Parametros!$C$40*Parametros!$C$21/1000*Parametros!$C$127</f>
        <v>0.24603428571428579</v>
      </c>
      <c r="F55" s="216">
        <f>Parametros!$C$126*Parametros!$C$40*Parametros!$C$21/1000*Parametros!$C$127</f>
        <v>0.24603428571428579</v>
      </c>
      <c r="G55" s="216">
        <f>Parametros!$C$126*Parametros!$C$40*Parametros!$C$21/1000*Parametros!$C$127</f>
        <v>0.24603428571428579</v>
      </c>
      <c r="H55" s="216">
        <f>Parametros!$C$126*Parametros!$C$40*Parametros!$C$21/1000*Parametros!$C$127</f>
        <v>0.24603428571428579</v>
      </c>
      <c r="I55" s="216">
        <f>Parametros!$C$126*Parametros!$C$40*Parametros!$C$21/1000*Parametros!$C$127</f>
        <v>0.24603428571428579</v>
      </c>
      <c r="J55" s="216">
        <f>Parametros!$C$126*Parametros!$C$40*Parametros!$C$21/1000*Parametros!$C$127</f>
        <v>0.24603428571428579</v>
      </c>
      <c r="K55" s="212">
        <v>0</v>
      </c>
      <c r="L55" s="212">
        <v>0</v>
      </c>
      <c r="M55" s="212">
        <v>0</v>
      </c>
      <c r="N55" s="212">
        <v>0</v>
      </c>
      <c r="O55" s="212">
        <v>0</v>
      </c>
      <c r="P55" s="212">
        <v>0</v>
      </c>
      <c r="Q55" s="212">
        <v>0</v>
      </c>
      <c r="R55" s="212">
        <v>0</v>
      </c>
      <c r="S55" s="212">
        <v>0</v>
      </c>
      <c r="T55" s="212">
        <v>0</v>
      </c>
      <c r="U55" s="212">
        <v>0</v>
      </c>
      <c r="V55" s="212">
        <v>0</v>
      </c>
      <c r="W55" s="212">
        <v>0</v>
      </c>
      <c r="X55" s="212">
        <v>0</v>
      </c>
      <c r="Y55" s="212">
        <v>0</v>
      </c>
      <c r="Z55" s="212">
        <v>0</v>
      </c>
      <c r="AA55" s="212">
        <v>0</v>
      </c>
      <c r="AB55" s="212">
        <v>0</v>
      </c>
      <c r="AC55" s="212">
        <v>0</v>
      </c>
      <c r="AD55" s="212">
        <v>0</v>
      </c>
      <c r="AE55" s="212">
        <v>0</v>
      </c>
      <c r="AF55" s="212">
        <v>0</v>
      </c>
      <c r="AG55" s="213">
        <v>0</v>
      </c>
      <c r="AH55" s="199"/>
      <c r="AI55" s="208">
        <f>+SUM(E55:AG55)</f>
        <v>1.4762057142857148</v>
      </c>
    </row>
    <row r="56" spans="1:35" ht="14.45" customHeight="1" x14ac:dyDescent="0.25">
      <c r="B56" s="197" t="s">
        <v>179</v>
      </c>
      <c r="C56" s="202"/>
      <c r="E56" s="217">
        <f t="shared" ref="E56:AG56" si="37">SUM(E44:E55)</f>
        <v>4143.8870614285715</v>
      </c>
      <c r="F56" s="217">
        <f t="shared" si="37"/>
        <v>178.63879131910272</v>
      </c>
      <c r="G56" s="217">
        <f t="shared" si="37"/>
        <v>103.75174740823012</v>
      </c>
      <c r="H56" s="217">
        <f t="shared" si="37"/>
        <v>24.483811428571428</v>
      </c>
      <c r="I56" s="217">
        <f t="shared" si="37"/>
        <v>24.483811428571428</v>
      </c>
      <c r="J56" s="217">
        <f t="shared" si="37"/>
        <v>24.483811428571428</v>
      </c>
      <c r="K56" s="217">
        <f t="shared" si="37"/>
        <v>0</v>
      </c>
      <c r="L56" s="217">
        <f t="shared" si="37"/>
        <v>0</v>
      </c>
      <c r="M56" s="217">
        <f t="shared" si="37"/>
        <v>0</v>
      </c>
      <c r="N56" s="217">
        <f t="shared" si="37"/>
        <v>0</v>
      </c>
      <c r="O56" s="217">
        <f t="shared" si="37"/>
        <v>0</v>
      </c>
      <c r="P56" s="217">
        <f t="shared" si="37"/>
        <v>0</v>
      </c>
      <c r="Q56" s="217">
        <f t="shared" si="37"/>
        <v>0</v>
      </c>
      <c r="R56" s="217">
        <f t="shared" si="37"/>
        <v>0</v>
      </c>
      <c r="S56" s="217">
        <f t="shared" si="37"/>
        <v>0</v>
      </c>
      <c r="T56" s="217">
        <f t="shared" si="37"/>
        <v>0</v>
      </c>
      <c r="U56" s="217">
        <f t="shared" si="37"/>
        <v>0</v>
      </c>
      <c r="V56" s="217">
        <f t="shared" si="37"/>
        <v>0</v>
      </c>
      <c r="W56" s="217">
        <f t="shared" si="37"/>
        <v>0</v>
      </c>
      <c r="X56" s="217">
        <f t="shared" si="37"/>
        <v>0</v>
      </c>
      <c r="Y56" s="217">
        <f t="shared" si="37"/>
        <v>0</v>
      </c>
      <c r="Z56" s="217">
        <f t="shared" si="37"/>
        <v>0</v>
      </c>
      <c r="AA56" s="217">
        <f t="shared" si="37"/>
        <v>0</v>
      </c>
      <c r="AB56" s="217">
        <f t="shared" si="37"/>
        <v>0</v>
      </c>
      <c r="AC56" s="217">
        <f t="shared" si="37"/>
        <v>0</v>
      </c>
      <c r="AD56" s="217">
        <f t="shared" si="37"/>
        <v>0</v>
      </c>
      <c r="AE56" s="217">
        <f t="shared" si="37"/>
        <v>0</v>
      </c>
      <c r="AF56" s="217">
        <f t="shared" si="37"/>
        <v>0</v>
      </c>
      <c r="AG56" s="217">
        <f t="shared" si="37"/>
        <v>0</v>
      </c>
      <c r="AH56" s="199"/>
      <c r="AI56" s="218">
        <f>+SUM(E56:AG56)</f>
        <v>4499.7290344416178</v>
      </c>
    </row>
    <row r="57" spans="1:35" ht="14.45" customHeight="1" x14ac:dyDescent="0.25">
      <c r="A57" s="199"/>
      <c r="C57" s="219"/>
      <c r="E57" s="199"/>
      <c r="F57" s="199"/>
      <c r="G57" s="199"/>
      <c r="H57" s="199"/>
      <c r="I57" s="199">
        <f>SUM(E52:G52)</f>
        <v>458.32616587019004</v>
      </c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</row>
    <row r="58" spans="1:35" ht="14.45" customHeight="1" x14ac:dyDescent="0.25">
      <c r="C58" s="202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199"/>
      <c r="AI58" s="199"/>
    </row>
    <row r="59" spans="1:35" ht="14.45" customHeight="1" x14ac:dyDescent="0.25">
      <c r="A59" s="197" t="s">
        <v>181</v>
      </c>
      <c r="E59" s="221">
        <f t="shared" ref="E59:AG59" si="38">1/(1+$C$3)^E42</f>
        <v>1</v>
      </c>
      <c r="F59" s="221">
        <f t="shared" si="38"/>
        <v>1</v>
      </c>
      <c r="G59" s="221">
        <f t="shared" si="38"/>
        <v>1</v>
      </c>
      <c r="H59" s="221">
        <f t="shared" si="38"/>
        <v>1</v>
      </c>
      <c r="I59" s="221">
        <f t="shared" si="38"/>
        <v>1</v>
      </c>
      <c r="J59" s="221">
        <f t="shared" si="38"/>
        <v>1</v>
      </c>
      <c r="K59" s="221">
        <f t="shared" si="38"/>
        <v>1</v>
      </c>
      <c r="L59" s="221">
        <f t="shared" si="38"/>
        <v>1</v>
      </c>
      <c r="M59" s="221">
        <f t="shared" si="38"/>
        <v>1</v>
      </c>
      <c r="N59" s="221">
        <f t="shared" si="38"/>
        <v>1</v>
      </c>
      <c r="O59" s="221">
        <f t="shared" si="38"/>
        <v>1</v>
      </c>
      <c r="P59" s="221">
        <f t="shared" si="38"/>
        <v>1</v>
      </c>
      <c r="Q59" s="221">
        <f t="shared" si="38"/>
        <v>1</v>
      </c>
      <c r="R59" s="221">
        <f t="shared" si="38"/>
        <v>1</v>
      </c>
      <c r="S59" s="221">
        <f t="shared" si="38"/>
        <v>1</v>
      </c>
      <c r="T59" s="221">
        <f t="shared" si="38"/>
        <v>1</v>
      </c>
      <c r="U59" s="221">
        <f t="shared" si="38"/>
        <v>1</v>
      </c>
      <c r="V59" s="221">
        <f t="shared" si="38"/>
        <v>1</v>
      </c>
      <c r="W59" s="221">
        <f t="shared" si="38"/>
        <v>1</v>
      </c>
      <c r="X59" s="221">
        <f t="shared" si="38"/>
        <v>1</v>
      </c>
      <c r="Y59" s="221">
        <f t="shared" si="38"/>
        <v>1</v>
      </c>
      <c r="Z59" s="221">
        <f t="shared" si="38"/>
        <v>1</v>
      </c>
      <c r="AA59" s="221">
        <f t="shared" si="38"/>
        <v>1</v>
      </c>
      <c r="AB59" s="221">
        <f t="shared" si="38"/>
        <v>1</v>
      </c>
      <c r="AC59" s="221">
        <f t="shared" si="38"/>
        <v>1</v>
      </c>
      <c r="AD59" s="221">
        <f t="shared" si="38"/>
        <v>1</v>
      </c>
      <c r="AE59" s="221">
        <f t="shared" si="38"/>
        <v>1</v>
      </c>
      <c r="AF59" s="221">
        <f t="shared" si="38"/>
        <v>1</v>
      </c>
      <c r="AG59" s="221">
        <f t="shared" si="38"/>
        <v>1</v>
      </c>
      <c r="AH59" s="199"/>
      <c r="AI59" s="199"/>
    </row>
    <row r="60" spans="1:35" ht="14.45" customHeight="1" x14ac:dyDescent="0.25">
      <c r="C60" s="222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199"/>
      <c r="AI60" s="199"/>
    </row>
    <row r="61" spans="1:35" ht="14.45" customHeight="1" x14ac:dyDescent="0.25">
      <c r="A61" s="255" t="s">
        <v>182</v>
      </c>
      <c r="B61" s="255"/>
      <c r="C61" s="197" t="s">
        <v>1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</row>
    <row r="62" spans="1:35" ht="14.45" customHeight="1" x14ac:dyDescent="0.25">
      <c r="A62" s="246" t="s">
        <v>16</v>
      </c>
      <c r="B62" s="19" t="s">
        <v>155</v>
      </c>
      <c r="C62" s="202"/>
      <c r="E62" s="223">
        <f>+E44*E$22</f>
        <v>3000</v>
      </c>
      <c r="F62" s="224">
        <f t="shared" ref="F62:AG71" si="39">+F44*F$22</f>
        <v>0</v>
      </c>
      <c r="G62" s="224">
        <f t="shared" si="39"/>
        <v>0</v>
      </c>
      <c r="H62" s="224">
        <f t="shared" si="39"/>
        <v>0</v>
      </c>
      <c r="I62" s="224">
        <f t="shared" si="39"/>
        <v>0</v>
      </c>
      <c r="J62" s="224">
        <f t="shared" si="39"/>
        <v>0</v>
      </c>
      <c r="K62" s="224">
        <f t="shared" si="39"/>
        <v>0</v>
      </c>
      <c r="L62" s="224">
        <f t="shared" si="39"/>
        <v>0</v>
      </c>
      <c r="M62" s="224">
        <f t="shared" si="39"/>
        <v>0</v>
      </c>
      <c r="N62" s="224">
        <f t="shared" si="39"/>
        <v>0</v>
      </c>
      <c r="O62" s="224">
        <f t="shared" si="39"/>
        <v>0</v>
      </c>
      <c r="P62" s="224">
        <f t="shared" si="39"/>
        <v>0</v>
      </c>
      <c r="Q62" s="224">
        <f t="shared" si="39"/>
        <v>0</v>
      </c>
      <c r="R62" s="224">
        <f t="shared" si="39"/>
        <v>0</v>
      </c>
      <c r="S62" s="224">
        <f t="shared" si="39"/>
        <v>0</v>
      </c>
      <c r="T62" s="224">
        <f t="shared" si="39"/>
        <v>0</v>
      </c>
      <c r="U62" s="224">
        <f t="shared" si="39"/>
        <v>0</v>
      </c>
      <c r="V62" s="224">
        <f t="shared" si="39"/>
        <v>0</v>
      </c>
      <c r="W62" s="224">
        <f t="shared" si="39"/>
        <v>0</v>
      </c>
      <c r="X62" s="224">
        <f t="shared" si="39"/>
        <v>0</v>
      </c>
      <c r="Y62" s="224">
        <f t="shared" si="39"/>
        <v>0</v>
      </c>
      <c r="Z62" s="224">
        <f t="shared" si="39"/>
        <v>0</v>
      </c>
      <c r="AA62" s="224">
        <f t="shared" si="39"/>
        <v>0</v>
      </c>
      <c r="AB62" s="224">
        <f t="shared" si="39"/>
        <v>0</v>
      </c>
      <c r="AC62" s="224">
        <f t="shared" si="39"/>
        <v>0</v>
      </c>
      <c r="AD62" s="224">
        <f t="shared" si="39"/>
        <v>0</v>
      </c>
      <c r="AE62" s="224">
        <f t="shared" si="39"/>
        <v>0</v>
      </c>
      <c r="AF62" s="224">
        <f t="shared" si="39"/>
        <v>0</v>
      </c>
      <c r="AG62" s="225">
        <f t="shared" si="39"/>
        <v>0</v>
      </c>
      <c r="AH62" s="199"/>
      <c r="AI62" s="226">
        <f t="shared" ref="AI62:AI73" si="40">+SUM(E62:AG62)</f>
        <v>3000</v>
      </c>
    </row>
    <row r="63" spans="1:35" ht="14.45" customHeight="1" x14ac:dyDescent="0.25">
      <c r="A63" s="247"/>
      <c r="B63" s="22" t="s">
        <v>49</v>
      </c>
      <c r="C63" s="202"/>
      <c r="E63" s="231">
        <f t="shared" ref="E63:T73" si="41">+E45*E$22</f>
        <v>50</v>
      </c>
      <c r="F63" s="232">
        <f t="shared" si="41"/>
        <v>0</v>
      </c>
      <c r="G63" s="232">
        <f t="shared" si="41"/>
        <v>0</v>
      </c>
      <c r="H63" s="232">
        <f t="shared" si="41"/>
        <v>0</v>
      </c>
      <c r="I63" s="232">
        <f t="shared" si="41"/>
        <v>0</v>
      </c>
      <c r="J63" s="232">
        <f t="shared" si="41"/>
        <v>0</v>
      </c>
      <c r="K63" s="232">
        <f t="shared" si="41"/>
        <v>0</v>
      </c>
      <c r="L63" s="232">
        <f t="shared" si="41"/>
        <v>0</v>
      </c>
      <c r="M63" s="232">
        <f t="shared" si="41"/>
        <v>0</v>
      </c>
      <c r="N63" s="232">
        <f t="shared" si="41"/>
        <v>0</v>
      </c>
      <c r="O63" s="232">
        <f t="shared" si="41"/>
        <v>0</v>
      </c>
      <c r="P63" s="232">
        <f t="shared" si="41"/>
        <v>0</v>
      </c>
      <c r="Q63" s="232">
        <f t="shared" si="41"/>
        <v>0</v>
      </c>
      <c r="R63" s="232">
        <f t="shared" si="41"/>
        <v>0</v>
      </c>
      <c r="S63" s="232">
        <f t="shared" si="41"/>
        <v>0</v>
      </c>
      <c r="T63" s="232">
        <f t="shared" si="41"/>
        <v>0</v>
      </c>
      <c r="U63" s="232">
        <f t="shared" si="39"/>
        <v>0</v>
      </c>
      <c r="V63" s="232">
        <f t="shared" si="39"/>
        <v>0</v>
      </c>
      <c r="W63" s="232">
        <f t="shared" si="39"/>
        <v>0</v>
      </c>
      <c r="X63" s="232">
        <f t="shared" si="39"/>
        <v>0</v>
      </c>
      <c r="Y63" s="232">
        <f t="shared" si="39"/>
        <v>0</v>
      </c>
      <c r="Z63" s="232">
        <f t="shared" si="39"/>
        <v>0</v>
      </c>
      <c r="AA63" s="232">
        <f t="shared" si="39"/>
        <v>0</v>
      </c>
      <c r="AB63" s="232">
        <f t="shared" si="39"/>
        <v>0</v>
      </c>
      <c r="AC63" s="232">
        <f t="shared" si="39"/>
        <v>0</v>
      </c>
      <c r="AD63" s="232">
        <f t="shared" si="39"/>
        <v>0</v>
      </c>
      <c r="AE63" s="232">
        <f t="shared" si="39"/>
        <v>0</v>
      </c>
      <c r="AF63" s="232">
        <f t="shared" si="39"/>
        <v>0</v>
      </c>
      <c r="AG63" s="233">
        <f t="shared" si="39"/>
        <v>0</v>
      </c>
      <c r="AH63" s="199"/>
      <c r="AI63" s="230">
        <f t="shared" si="40"/>
        <v>50</v>
      </c>
    </row>
    <row r="64" spans="1:35" ht="14.45" customHeight="1" x14ac:dyDescent="0.25">
      <c r="A64" s="248"/>
      <c r="B64" s="20" t="s">
        <v>100</v>
      </c>
      <c r="C64" s="202"/>
      <c r="E64" s="227">
        <f t="shared" si="41"/>
        <v>0</v>
      </c>
      <c r="F64" s="228">
        <f t="shared" si="39"/>
        <v>0</v>
      </c>
      <c r="G64" s="228">
        <f t="shared" si="39"/>
        <v>0</v>
      </c>
      <c r="H64" s="228">
        <f t="shared" si="39"/>
        <v>0</v>
      </c>
      <c r="I64" s="228">
        <f t="shared" si="39"/>
        <v>0</v>
      </c>
      <c r="J64" s="228">
        <f t="shared" si="39"/>
        <v>0</v>
      </c>
      <c r="K64" s="228">
        <f t="shared" si="39"/>
        <v>0</v>
      </c>
      <c r="L64" s="228">
        <f t="shared" si="39"/>
        <v>0</v>
      </c>
      <c r="M64" s="228">
        <f t="shared" si="39"/>
        <v>0</v>
      </c>
      <c r="N64" s="228">
        <f t="shared" si="39"/>
        <v>0</v>
      </c>
      <c r="O64" s="228">
        <f t="shared" si="39"/>
        <v>0</v>
      </c>
      <c r="P64" s="228">
        <f t="shared" si="39"/>
        <v>0</v>
      </c>
      <c r="Q64" s="228">
        <f t="shared" si="39"/>
        <v>0</v>
      </c>
      <c r="R64" s="228">
        <f t="shared" si="39"/>
        <v>0</v>
      </c>
      <c r="S64" s="228">
        <f t="shared" si="39"/>
        <v>0</v>
      </c>
      <c r="T64" s="228">
        <f t="shared" si="39"/>
        <v>0</v>
      </c>
      <c r="U64" s="228">
        <f t="shared" si="39"/>
        <v>0</v>
      </c>
      <c r="V64" s="228">
        <f t="shared" si="39"/>
        <v>0</v>
      </c>
      <c r="W64" s="228">
        <f t="shared" si="39"/>
        <v>0</v>
      </c>
      <c r="X64" s="228">
        <f t="shared" si="39"/>
        <v>0</v>
      </c>
      <c r="Y64" s="228">
        <f t="shared" si="39"/>
        <v>0</v>
      </c>
      <c r="Z64" s="228">
        <f t="shared" si="39"/>
        <v>0</v>
      </c>
      <c r="AA64" s="228">
        <f t="shared" si="39"/>
        <v>0</v>
      </c>
      <c r="AB64" s="228">
        <f t="shared" si="39"/>
        <v>0</v>
      </c>
      <c r="AC64" s="228">
        <f t="shared" si="39"/>
        <v>0</v>
      </c>
      <c r="AD64" s="228">
        <f t="shared" si="39"/>
        <v>0</v>
      </c>
      <c r="AE64" s="228">
        <f t="shared" si="39"/>
        <v>0</v>
      </c>
      <c r="AF64" s="228">
        <f t="shared" si="39"/>
        <v>0</v>
      </c>
      <c r="AG64" s="229">
        <f t="shared" si="39"/>
        <v>0</v>
      </c>
      <c r="AH64" s="199"/>
      <c r="AI64" s="234">
        <f t="shared" si="40"/>
        <v>0</v>
      </c>
    </row>
    <row r="65" spans="1:35" ht="14.45" customHeight="1" x14ac:dyDescent="0.25">
      <c r="A65" s="246" t="s">
        <v>17</v>
      </c>
      <c r="B65" s="19" t="s">
        <v>76</v>
      </c>
      <c r="C65" s="202"/>
      <c r="E65" s="223">
        <f t="shared" si="41"/>
        <v>150</v>
      </c>
      <c r="F65" s="224">
        <f t="shared" si="39"/>
        <v>0</v>
      </c>
      <c r="G65" s="224">
        <f t="shared" si="39"/>
        <v>0</v>
      </c>
      <c r="H65" s="224">
        <f t="shared" si="39"/>
        <v>0</v>
      </c>
      <c r="I65" s="224">
        <f t="shared" si="39"/>
        <v>0</v>
      </c>
      <c r="J65" s="224">
        <f t="shared" si="39"/>
        <v>0</v>
      </c>
      <c r="K65" s="224">
        <f t="shared" si="39"/>
        <v>0</v>
      </c>
      <c r="L65" s="224">
        <f t="shared" si="39"/>
        <v>0</v>
      </c>
      <c r="M65" s="224">
        <f t="shared" si="39"/>
        <v>0</v>
      </c>
      <c r="N65" s="224">
        <f t="shared" si="39"/>
        <v>0</v>
      </c>
      <c r="O65" s="224">
        <f t="shared" si="39"/>
        <v>0</v>
      </c>
      <c r="P65" s="224">
        <f t="shared" si="39"/>
        <v>0</v>
      </c>
      <c r="Q65" s="224">
        <f t="shared" si="39"/>
        <v>0</v>
      </c>
      <c r="R65" s="224">
        <f t="shared" si="39"/>
        <v>0</v>
      </c>
      <c r="S65" s="224">
        <f t="shared" si="39"/>
        <v>0</v>
      </c>
      <c r="T65" s="224">
        <f t="shared" si="39"/>
        <v>0</v>
      </c>
      <c r="U65" s="224">
        <f t="shared" si="39"/>
        <v>0</v>
      </c>
      <c r="V65" s="224">
        <f t="shared" si="39"/>
        <v>0</v>
      </c>
      <c r="W65" s="224">
        <f t="shared" si="39"/>
        <v>0</v>
      </c>
      <c r="X65" s="224">
        <f t="shared" si="39"/>
        <v>0</v>
      </c>
      <c r="Y65" s="224">
        <f t="shared" si="39"/>
        <v>0</v>
      </c>
      <c r="Z65" s="224">
        <f t="shared" si="39"/>
        <v>0</v>
      </c>
      <c r="AA65" s="224">
        <f t="shared" si="39"/>
        <v>0</v>
      </c>
      <c r="AB65" s="224">
        <f t="shared" si="39"/>
        <v>0</v>
      </c>
      <c r="AC65" s="224">
        <f t="shared" si="39"/>
        <v>0</v>
      </c>
      <c r="AD65" s="224">
        <f t="shared" si="39"/>
        <v>0</v>
      </c>
      <c r="AE65" s="224">
        <f t="shared" si="39"/>
        <v>0</v>
      </c>
      <c r="AF65" s="224">
        <f t="shared" si="39"/>
        <v>0</v>
      </c>
      <c r="AG65" s="225">
        <f t="shared" si="39"/>
        <v>0</v>
      </c>
      <c r="AH65" s="199"/>
      <c r="AI65" s="226">
        <f t="shared" si="40"/>
        <v>150</v>
      </c>
    </row>
    <row r="66" spans="1:35" ht="14.45" customHeight="1" x14ac:dyDescent="0.25">
      <c r="A66" s="247"/>
      <c r="B66" s="104" t="s">
        <v>31</v>
      </c>
      <c r="C66" s="202"/>
      <c r="E66" s="231">
        <f t="shared" si="41"/>
        <v>0</v>
      </c>
      <c r="F66" s="232">
        <f t="shared" si="39"/>
        <v>0</v>
      </c>
      <c r="G66" s="232">
        <f t="shared" si="39"/>
        <v>0</v>
      </c>
      <c r="H66" s="232">
        <f t="shared" si="39"/>
        <v>0</v>
      </c>
      <c r="I66" s="232">
        <f t="shared" si="39"/>
        <v>0</v>
      </c>
      <c r="J66" s="232">
        <f t="shared" si="39"/>
        <v>0</v>
      </c>
      <c r="K66" s="232">
        <f t="shared" si="39"/>
        <v>0</v>
      </c>
      <c r="L66" s="232">
        <f t="shared" si="39"/>
        <v>0</v>
      </c>
      <c r="M66" s="232">
        <f t="shared" si="39"/>
        <v>0</v>
      </c>
      <c r="N66" s="232">
        <f t="shared" si="39"/>
        <v>0</v>
      </c>
      <c r="O66" s="232">
        <f t="shared" si="39"/>
        <v>0</v>
      </c>
      <c r="P66" s="232">
        <f t="shared" si="39"/>
        <v>0</v>
      </c>
      <c r="Q66" s="232">
        <f t="shared" si="39"/>
        <v>0</v>
      </c>
      <c r="R66" s="232">
        <f t="shared" si="39"/>
        <v>0</v>
      </c>
      <c r="S66" s="232">
        <f t="shared" si="39"/>
        <v>0</v>
      </c>
      <c r="T66" s="232">
        <f t="shared" si="39"/>
        <v>0</v>
      </c>
      <c r="U66" s="232">
        <f t="shared" si="39"/>
        <v>0</v>
      </c>
      <c r="V66" s="232">
        <f t="shared" si="39"/>
        <v>0</v>
      </c>
      <c r="W66" s="232">
        <f t="shared" si="39"/>
        <v>0</v>
      </c>
      <c r="X66" s="232">
        <f t="shared" si="39"/>
        <v>0</v>
      </c>
      <c r="Y66" s="232">
        <f t="shared" si="39"/>
        <v>0</v>
      </c>
      <c r="Z66" s="232">
        <f t="shared" si="39"/>
        <v>0</v>
      </c>
      <c r="AA66" s="232">
        <f t="shared" si="39"/>
        <v>0</v>
      </c>
      <c r="AB66" s="232">
        <f t="shared" si="39"/>
        <v>0</v>
      </c>
      <c r="AC66" s="232">
        <f t="shared" si="39"/>
        <v>0</v>
      </c>
      <c r="AD66" s="232">
        <f t="shared" si="39"/>
        <v>0</v>
      </c>
      <c r="AE66" s="232">
        <f t="shared" si="39"/>
        <v>0</v>
      </c>
      <c r="AF66" s="232">
        <f t="shared" si="39"/>
        <v>0</v>
      </c>
      <c r="AG66" s="233">
        <f t="shared" si="39"/>
        <v>0</v>
      </c>
      <c r="AH66" s="199"/>
      <c r="AI66" s="230">
        <f t="shared" si="40"/>
        <v>0</v>
      </c>
    </row>
    <row r="67" spans="1:35" ht="14.45" customHeight="1" x14ac:dyDescent="0.25">
      <c r="A67" s="247"/>
      <c r="B67" s="104" t="s">
        <v>77</v>
      </c>
      <c r="C67" s="202"/>
      <c r="E67" s="231">
        <f t="shared" si="41"/>
        <v>660</v>
      </c>
      <c r="F67" s="232">
        <f t="shared" si="39"/>
        <v>0</v>
      </c>
      <c r="G67" s="232">
        <f t="shared" si="39"/>
        <v>0</v>
      </c>
      <c r="H67" s="232">
        <f t="shared" si="39"/>
        <v>0</v>
      </c>
      <c r="I67" s="232">
        <f t="shared" si="39"/>
        <v>0</v>
      </c>
      <c r="J67" s="232">
        <f t="shared" si="39"/>
        <v>0</v>
      </c>
      <c r="K67" s="232">
        <f t="shared" si="39"/>
        <v>0</v>
      </c>
      <c r="L67" s="232">
        <f t="shared" si="39"/>
        <v>0</v>
      </c>
      <c r="M67" s="232">
        <f t="shared" si="39"/>
        <v>0</v>
      </c>
      <c r="N67" s="232">
        <f t="shared" si="39"/>
        <v>0</v>
      </c>
      <c r="O67" s="232">
        <f t="shared" si="39"/>
        <v>0</v>
      </c>
      <c r="P67" s="232">
        <f t="shared" si="39"/>
        <v>0</v>
      </c>
      <c r="Q67" s="232">
        <f t="shared" si="39"/>
        <v>0</v>
      </c>
      <c r="R67" s="232">
        <f t="shared" si="39"/>
        <v>0</v>
      </c>
      <c r="S67" s="232">
        <f t="shared" si="39"/>
        <v>0</v>
      </c>
      <c r="T67" s="232">
        <f t="shared" si="39"/>
        <v>0</v>
      </c>
      <c r="U67" s="232">
        <f t="shared" si="39"/>
        <v>0</v>
      </c>
      <c r="V67" s="232">
        <f t="shared" si="39"/>
        <v>0</v>
      </c>
      <c r="W67" s="232">
        <f t="shared" si="39"/>
        <v>0</v>
      </c>
      <c r="X67" s="232">
        <f t="shared" si="39"/>
        <v>0</v>
      </c>
      <c r="Y67" s="232">
        <f t="shared" si="39"/>
        <v>0</v>
      </c>
      <c r="Z67" s="232">
        <f t="shared" si="39"/>
        <v>0</v>
      </c>
      <c r="AA67" s="232">
        <f t="shared" si="39"/>
        <v>0</v>
      </c>
      <c r="AB67" s="232">
        <f t="shared" si="39"/>
        <v>0</v>
      </c>
      <c r="AC67" s="232">
        <f t="shared" si="39"/>
        <v>0</v>
      </c>
      <c r="AD67" s="232">
        <f t="shared" si="39"/>
        <v>0</v>
      </c>
      <c r="AE67" s="232">
        <f t="shared" si="39"/>
        <v>0</v>
      </c>
      <c r="AF67" s="232">
        <f t="shared" si="39"/>
        <v>0</v>
      </c>
      <c r="AG67" s="233">
        <f t="shared" si="39"/>
        <v>0</v>
      </c>
      <c r="AH67" s="199"/>
      <c r="AI67" s="230">
        <f t="shared" si="40"/>
        <v>660</v>
      </c>
    </row>
    <row r="68" spans="1:35" ht="14.45" customHeight="1" x14ac:dyDescent="0.25">
      <c r="A68" s="247"/>
      <c r="B68" s="104" t="s">
        <v>30</v>
      </c>
      <c r="C68" s="202"/>
      <c r="E68" s="231">
        <f t="shared" si="41"/>
        <v>34.5</v>
      </c>
      <c r="F68" s="232">
        <f t="shared" si="39"/>
        <v>0</v>
      </c>
      <c r="G68" s="232">
        <f t="shared" si="39"/>
        <v>0</v>
      </c>
      <c r="H68" s="232">
        <f t="shared" si="39"/>
        <v>0</v>
      </c>
      <c r="I68" s="232">
        <f t="shared" si="39"/>
        <v>0</v>
      </c>
      <c r="J68" s="232">
        <f t="shared" si="39"/>
        <v>0</v>
      </c>
      <c r="K68" s="232">
        <f t="shared" si="39"/>
        <v>0</v>
      </c>
      <c r="L68" s="232">
        <f t="shared" si="39"/>
        <v>0</v>
      </c>
      <c r="M68" s="232">
        <f t="shared" si="39"/>
        <v>0</v>
      </c>
      <c r="N68" s="232">
        <f t="shared" si="39"/>
        <v>0</v>
      </c>
      <c r="O68" s="232">
        <f t="shared" si="39"/>
        <v>0</v>
      </c>
      <c r="P68" s="232">
        <f t="shared" si="39"/>
        <v>0</v>
      </c>
      <c r="Q68" s="232">
        <f t="shared" si="39"/>
        <v>0</v>
      </c>
      <c r="R68" s="232">
        <f t="shared" si="39"/>
        <v>0</v>
      </c>
      <c r="S68" s="232">
        <f t="shared" si="39"/>
        <v>0</v>
      </c>
      <c r="T68" s="232">
        <f t="shared" si="39"/>
        <v>0</v>
      </c>
      <c r="U68" s="232">
        <f t="shared" si="39"/>
        <v>0</v>
      </c>
      <c r="V68" s="232">
        <f t="shared" si="39"/>
        <v>0</v>
      </c>
      <c r="W68" s="232">
        <f t="shared" si="39"/>
        <v>0</v>
      </c>
      <c r="X68" s="232">
        <f t="shared" si="39"/>
        <v>0</v>
      </c>
      <c r="Y68" s="232">
        <f t="shared" si="39"/>
        <v>0</v>
      </c>
      <c r="Z68" s="232">
        <f t="shared" si="39"/>
        <v>0</v>
      </c>
      <c r="AA68" s="232">
        <f t="shared" si="39"/>
        <v>0</v>
      </c>
      <c r="AB68" s="232">
        <f t="shared" si="39"/>
        <v>0</v>
      </c>
      <c r="AC68" s="232">
        <f t="shared" si="39"/>
        <v>0</v>
      </c>
      <c r="AD68" s="232">
        <f t="shared" si="39"/>
        <v>0</v>
      </c>
      <c r="AE68" s="232">
        <f t="shared" si="39"/>
        <v>0</v>
      </c>
      <c r="AF68" s="232">
        <f t="shared" si="39"/>
        <v>0</v>
      </c>
      <c r="AG68" s="233">
        <f t="shared" si="39"/>
        <v>0</v>
      </c>
      <c r="AH68" s="199"/>
      <c r="AI68" s="230">
        <f t="shared" si="40"/>
        <v>34.5</v>
      </c>
    </row>
    <row r="69" spans="1:35" ht="14.45" customHeight="1" x14ac:dyDescent="0.25">
      <c r="A69" s="247"/>
      <c r="B69" s="104" t="s">
        <v>136</v>
      </c>
      <c r="C69" s="222"/>
      <c r="E69" s="231">
        <f t="shared" si="41"/>
        <v>0</v>
      </c>
      <c r="F69" s="232">
        <f t="shared" si="39"/>
        <v>0</v>
      </c>
      <c r="G69" s="232">
        <f t="shared" si="39"/>
        <v>0</v>
      </c>
      <c r="H69" s="232">
        <f t="shared" si="39"/>
        <v>0</v>
      </c>
      <c r="I69" s="232">
        <f t="shared" si="39"/>
        <v>0</v>
      </c>
      <c r="J69" s="232">
        <f t="shared" si="39"/>
        <v>0</v>
      </c>
      <c r="K69" s="232">
        <f t="shared" si="39"/>
        <v>0</v>
      </c>
      <c r="L69" s="232">
        <f t="shared" si="39"/>
        <v>0</v>
      </c>
      <c r="M69" s="232">
        <f t="shared" si="39"/>
        <v>0</v>
      </c>
      <c r="N69" s="232">
        <f t="shared" si="39"/>
        <v>0</v>
      </c>
      <c r="O69" s="232">
        <f t="shared" si="39"/>
        <v>0</v>
      </c>
      <c r="P69" s="232">
        <f t="shared" si="39"/>
        <v>0</v>
      </c>
      <c r="Q69" s="232">
        <f t="shared" si="39"/>
        <v>0</v>
      </c>
      <c r="R69" s="232">
        <f t="shared" si="39"/>
        <v>0</v>
      </c>
      <c r="S69" s="232">
        <f t="shared" si="39"/>
        <v>0</v>
      </c>
      <c r="T69" s="232">
        <f t="shared" si="39"/>
        <v>0</v>
      </c>
      <c r="U69" s="232">
        <f t="shared" si="39"/>
        <v>0</v>
      </c>
      <c r="V69" s="232">
        <f t="shared" si="39"/>
        <v>0</v>
      </c>
      <c r="W69" s="232">
        <f t="shared" si="39"/>
        <v>0</v>
      </c>
      <c r="X69" s="232">
        <f t="shared" si="39"/>
        <v>0</v>
      </c>
      <c r="Y69" s="232">
        <f t="shared" si="39"/>
        <v>0</v>
      </c>
      <c r="Z69" s="232">
        <f t="shared" si="39"/>
        <v>0</v>
      </c>
      <c r="AA69" s="232">
        <f t="shared" si="39"/>
        <v>0</v>
      </c>
      <c r="AB69" s="232">
        <f t="shared" si="39"/>
        <v>0</v>
      </c>
      <c r="AC69" s="232">
        <f t="shared" si="39"/>
        <v>0</v>
      </c>
      <c r="AD69" s="232">
        <f t="shared" si="39"/>
        <v>0</v>
      </c>
      <c r="AE69" s="232">
        <f t="shared" si="39"/>
        <v>0</v>
      </c>
      <c r="AF69" s="232">
        <f t="shared" si="39"/>
        <v>0</v>
      </c>
      <c r="AG69" s="233">
        <f t="shared" si="39"/>
        <v>0</v>
      </c>
      <c r="AH69" s="199"/>
      <c r="AI69" s="230">
        <f t="shared" si="40"/>
        <v>0</v>
      </c>
    </row>
    <row r="70" spans="1:35" ht="14.45" customHeight="1" x14ac:dyDescent="0.25">
      <c r="A70" s="248"/>
      <c r="B70" s="20" t="s">
        <v>101</v>
      </c>
      <c r="C70" s="222"/>
      <c r="E70" s="227">
        <f t="shared" si="41"/>
        <v>224.90325000000001</v>
      </c>
      <c r="F70" s="228">
        <f t="shared" si="39"/>
        <v>154.15497989053131</v>
      </c>
      <c r="G70" s="228">
        <f t="shared" si="39"/>
        <v>79.267935979658688</v>
      </c>
      <c r="H70" s="228">
        <f t="shared" si="39"/>
        <v>0</v>
      </c>
      <c r="I70" s="228">
        <f t="shared" si="39"/>
        <v>0</v>
      </c>
      <c r="J70" s="228">
        <f t="shared" si="39"/>
        <v>0</v>
      </c>
      <c r="K70" s="228">
        <f t="shared" si="39"/>
        <v>0</v>
      </c>
      <c r="L70" s="228">
        <f t="shared" si="39"/>
        <v>0</v>
      </c>
      <c r="M70" s="228">
        <f t="shared" si="39"/>
        <v>0</v>
      </c>
      <c r="N70" s="228">
        <f t="shared" si="39"/>
        <v>0</v>
      </c>
      <c r="O70" s="228">
        <f t="shared" si="39"/>
        <v>0</v>
      </c>
      <c r="P70" s="228">
        <f t="shared" si="39"/>
        <v>0</v>
      </c>
      <c r="Q70" s="228">
        <f t="shared" si="39"/>
        <v>0</v>
      </c>
      <c r="R70" s="228">
        <f t="shared" si="39"/>
        <v>0</v>
      </c>
      <c r="S70" s="228">
        <f t="shared" si="39"/>
        <v>0</v>
      </c>
      <c r="T70" s="228">
        <f t="shared" si="39"/>
        <v>0</v>
      </c>
      <c r="U70" s="228">
        <f t="shared" si="39"/>
        <v>0</v>
      </c>
      <c r="V70" s="228">
        <f t="shared" si="39"/>
        <v>0</v>
      </c>
      <c r="W70" s="228">
        <f t="shared" si="39"/>
        <v>0</v>
      </c>
      <c r="X70" s="228">
        <f t="shared" si="39"/>
        <v>0</v>
      </c>
      <c r="Y70" s="228">
        <f t="shared" si="39"/>
        <v>0</v>
      </c>
      <c r="Z70" s="228">
        <f t="shared" si="39"/>
        <v>0</v>
      </c>
      <c r="AA70" s="228">
        <f t="shared" si="39"/>
        <v>0</v>
      </c>
      <c r="AB70" s="228">
        <f t="shared" si="39"/>
        <v>0</v>
      </c>
      <c r="AC70" s="228">
        <f t="shared" si="39"/>
        <v>0</v>
      </c>
      <c r="AD70" s="228">
        <f t="shared" si="39"/>
        <v>0</v>
      </c>
      <c r="AE70" s="228">
        <f t="shared" si="39"/>
        <v>0</v>
      </c>
      <c r="AF70" s="228">
        <f t="shared" si="39"/>
        <v>0</v>
      </c>
      <c r="AG70" s="229">
        <f t="shared" si="39"/>
        <v>0</v>
      </c>
      <c r="AH70" s="199"/>
      <c r="AI70" s="234">
        <f t="shared" si="40"/>
        <v>458.32616587019004</v>
      </c>
    </row>
    <row r="71" spans="1:35" ht="14.45" customHeight="1" x14ac:dyDescent="0.25">
      <c r="A71" s="246" t="s">
        <v>18</v>
      </c>
      <c r="B71" s="104" t="s">
        <v>40</v>
      </c>
      <c r="C71" s="222"/>
      <c r="E71" s="223">
        <f t="shared" si="41"/>
        <v>7</v>
      </c>
      <c r="F71" s="224">
        <f t="shared" si="39"/>
        <v>7</v>
      </c>
      <c r="G71" s="224">
        <f t="shared" si="39"/>
        <v>7</v>
      </c>
      <c r="H71" s="224">
        <f t="shared" si="39"/>
        <v>7</v>
      </c>
      <c r="I71" s="224">
        <f t="shared" si="39"/>
        <v>7</v>
      </c>
      <c r="J71" s="224">
        <f t="shared" si="39"/>
        <v>7</v>
      </c>
      <c r="K71" s="224">
        <f t="shared" si="39"/>
        <v>0</v>
      </c>
      <c r="L71" s="224">
        <f t="shared" si="39"/>
        <v>0</v>
      </c>
      <c r="M71" s="224">
        <f t="shared" si="39"/>
        <v>0</v>
      </c>
      <c r="N71" s="224">
        <f t="shared" si="39"/>
        <v>0</v>
      </c>
      <c r="O71" s="224">
        <f t="shared" si="39"/>
        <v>0</v>
      </c>
      <c r="P71" s="224">
        <f t="shared" si="39"/>
        <v>0</v>
      </c>
      <c r="Q71" s="224">
        <f t="shared" si="39"/>
        <v>0</v>
      </c>
      <c r="R71" s="224">
        <f t="shared" si="39"/>
        <v>0</v>
      </c>
      <c r="S71" s="224">
        <f t="shared" si="39"/>
        <v>0</v>
      </c>
      <c r="T71" s="224">
        <f t="shared" si="39"/>
        <v>0</v>
      </c>
      <c r="U71" s="224">
        <f t="shared" si="39"/>
        <v>0</v>
      </c>
      <c r="V71" s="224">
        <f t="shared" si="39"/>
        <v>0</v>
      </c>
      <c r="W71" s="224">
        <f t="shared" si="39"/>
        <v>0</v>
      </c>
      <c r="X71" s="224">
        <f t="shared" ref="F71:AG73" si="42">+X53*X$22</f>
        <v>0</v>
      </c>
      <c r="Y71" s="224">
        <f t="shared" si="42"/>
        <v>0</v>
      </c>
      <c r="Z71" s="224">
        <f t="shared" si="42"/>
        <v>0</v>
      </c>
      <c r="AA71" s="224">
        <f t="shared" si="42"/>
        <v>0</v>
      </c>
      <c r="AB71" s="224">
        <f t="shared" si="42"/>
        <v>0</v>
      </c>
      <c r="AC71" s="224">
        <f t="shared" si="42"/>
        <v>0</v>
      </c>
      <c r="AD71" s="224">
        <f t="shared" si="42"/>
        <v>0</v>
      </c>
      <c r="AE71" s="224">
        <f t="shared" si="42"/>
        <v>0</v>
      </c>
      <c r="AF71" s="224">
        <f t="shared" si="42"/>
        <v>0</v>
      </c>
      <c r="AG71" s="225">
        <f t="shared" si="42"/>
        <v>0</v>
      </c>
      <c r="AH71" s="199"/>
      <c r="AI71" s="226">
        <f t="shared" si="40"/>
        <v>42</v>
      </c>
    </row>
    <row r="72" spans="1:35" ht="14.45" customHeight="1" x14ac:dyDescent="0.25">
      <c r="A72" s="248"/>
      <c r="B72" s="20" t="s">
        <v>102</v>
      </c>
      <c r="C72" s="222"/>
      <c r="E72" s="227">
        <f t="shared" si="41"/>
        <v>17.237777142857144</v>
      </c>
      <c r="F72" s="228">
        <f t="shared" si="42"/>
        <v>17.237777142857144</v>
      </c>
      <c r="G72" s="228">
        <f t="shared" si="42"/>
        <v>17.237777142857144</v>
      </c>
      <c r="H72" s="228">
        <f t="shared" si="42"/>
        <v>17.237777142857144</v>
      </c>
      <c r="I72" s="228">
        <f t="shared" si="42"/>
        <v>17.237777142857144</v>
      </c>
      <c r="J72" s="228">
        <f t="shared" si="42"/>
        <v>17.237777142857144</v>
      </c>
      <c r="K72" s="228">
        <f t="shared" si="42"/>
        <v>0</v>
      </c>
      <c r="L72" s="228">
        <f t="shared" si="42"/>
        <v>0</v>
      </c>
      <c r="M72" s="228">
        <f t="shared" si="42"/>
        <v>0</v>
      </c>
      <c r="N72" s="228">
        <f t="shared" si="42"/>
        <v>0</v>
      </c>
      <c r="O72" s="228">
        <f t="shared" si="42"/>
        <v>0</v>
      </c>
      <c r="P72" s="228">
        <f t="shared" si="42"/>
        <v>0</v>
      </c>
      <c r="Q72" s="228">
        <f t="shared" si="42"/>
        <v>0</v>
      </c>
      <c r="R72" s="228">
        <f t="shared" si="42"/>
        <v>0</v>
      </c>
      <c r="S72" s="228">
        <f t="shared" si="42"/>
        <v>0</v>
      </c>
      <c r="T72" s="228">
        <f t="shared" si="42"/>
        <v>0</v>
      </c>
      <c r="U72" s="228">
        <f t="shared" si="42"/>
        <v>0</v>
      </c>
      <c r="V72" s="228">
        <f t="shared" si="42"/>
        <v>0</v>
      </c>
      <c r="W72" s="228">
        <f t="shared" si="42"/>
        <v>0</v>
      </c>
      <c r="X72" s="228">
        <f t="shared" si="42"/>
        <v>0</v>
      </c>
      <c r="Y72" s="228">
        <f t="shared" si="42"/>
        <v>0</v>
      </c>
      <c r="Z72" s="228">
        <f t="shared" si="42"/>
        <v>0</v>
      </c>
      <c r="AA72" s="228">
        <f t="shared" si="42"/>
        <v>0</v>
      </c>
      <c r="AB72" s="228">
        <f t="shared" si="42"/>
        <v>0</v>
      </c>
      <c r="AC72" s="228">
        <f t="shared" si="42"/>
        <v>0</v>
      </c>
      <c r="AD72" s="228">
        <f t="shared" si="42"/>
        <v>0</v>
      </c>
      <c r="AE72" s="228">
        <f t="shared" si="42"/>
        <v>0</v>
      </c>
      <c r="AF72" s="228">
        <f t="shared" si="42"/>
        <v>0</v>
      </c>
      <c r="AG72" s="229">
        <f t="shared" si="42"/>
        <v>0</v>
      </c>
      <c r="AH72" s="199"/>
      <c r="AI72" s="234">
        <f t="shared" si="40"/>
        <v>103.42666285714286</v>
      </c>
    </row>
    <row r="73" spans="1:35" ht="14.45" customHeight="1" x14ac:dyDescent="0.25">
      <c r="A73" s="64" t="s">
        <v>180</v>
      </c>
      <c r="B73" s="65" t="s">
        <v>104</v>
      </c>
      <c r="E73" s="227">
        <f t="shared" si="41"/>
        <v>0.24603428571428579</v>
      </c>
      <c r="F73" s="228">
        <f t="shared" si="42"/>
        <v>0.24603428571428579</v>
      </c>
      <c r="G73" s="228">
        <f t="shared" si="42"/>
        <v>0.24603428571428579</v>
      </c>
      <c r="H73" s="228">
        <f t="shared" si="42"/>
        <v>0.24603428571428579</v>
      </c>
      <c r="I73" s="228">
        <f t="shared" si="42"/>
        <v>0.24603428571428579</v>
      </c>
      <c r="J73" s="228">
        <f t="shared" si="42"/>
        <v>0.24603428571428579</v>
      </c>
      <c r="K73" s="228">
        <f t="shared" si="42"/>
        <v>0</v>
      </c>
      <c r="L73" s="228">
        <f t="shared" si="42"/>
        <v>0</v>
      </c>
      <c r="M73" s="228">
        <f t="shared" si="42"/>
        <v>0</v>
      </c>
      <c r="N73" s="228">
        <f t="shared" si="42"/>
        <v>0</v>
      </c>
      <c r="O73" s="228">
        <f t="shared" si="42"/>
        <v>0</v>
      </c>
      <c r="P73" s="228">
        <f t="shared" si="42"/>
        <v>0</v>
      </c>
      <c r="Q73" s="228">
        <f t="shared" si="42"/>
        <v>0</v>
      </c>
      <c r="R73" s="228">
        <f t="shared" si="42"/>
        <v>0</v>
      </c>
      <c r="S73" s="228">
        <f t="shared" si="42"/>
        <v>0</v>
      </c>
      <c r="T73" s="228">
        <f t="shared" si="42"/>
        <v>0</v>
      </c>
      <c r="U73" s="228">
        <f t="shared" si="42"/>
        <v>0</v>
      </c>
      <c r="V73" s="228">
        <f t="shared" si="42"/>
        <v>0</v>
      </c>
      <c r="W73" s="228">
        <f t="shared" si="42"/>
        <v>0</v>
      </c>
      <c r="X73" s="228">
        <f t="shared" si="42"/>
        <v>0</v>
      </c>
      <c r="Y73" s="228">
        <f t="shared" si="42"/>
        <v>0</v>
      </c>
      <c r="Z73" s="228">
        <f t="shared" si="42"/>
        <v>0</v>
      </c>
      <c r="AA73" s="228">
        <f t="shared" si="42"/>
        <v>0</v>
      </c>
      <c r="AB73" s="228">
        <f t="shared" si="42"/>
        <v>0</v>
      </c>
      <c r="AC73" s="228">
        <f t="shared" si="42"/>
        <v>0</v>
      </c>
      <c r="AD73" s="228">
        <f t="shared" si="42"/>
        <v>0</v>
      </c>
      <c r="AE73" s="228">
        <f t="shared" si="42"/>
        <v>0</v>
      </c>
      <c r="AF73" s="228">
        <f t="shared" si="42"/>
        <v>0</v>
      </c>
      <c r="AG73" s="229">
        <f t="shared" si="42"/>
        <v>0</v>
      </c>
      <c r="AI73" s="232">
        <f t="shared" si="40"/>
        <v>1.4762057142857148</v>
      </c>
    </row>
    <row r="74" spans="1:35" ht="14.45" customHeight="1" x14ac:dyDescent="0.25">
      <c r="B74" s="197" t="s">
        <v>179</v>
      </c>
      <c r="E74" s="235">
        <f t="shared" ref="E74:AG74" si="43">SUM(E62:E73)</f>
        <v>4143.8870614285715</v>
      </c>
      <c r="F74" s="235">
        <f t="shared" si="43"/>
        <v>178.63879131910272</v>
      </c>
      <c r="G74" s="235">
        <f t="shared" si="43"/>
        <v>103.75174740823012</v>
      </c>
      <c r="H74" s="235">
        <f t="shared" si="43"/>
        <v>24.483811428571428</v>
      </c>
      <c r="I74" s="235">
        <f t="shared" si="43"/>
        <v>24.483811428571428</v>
      </c>
      <c r="J74" s="235">
        <f t="shared" si="43"/>
        <v>24.483811428571428</v>
      </c>
      <c r="K74" s="235">
        <f t="shared" si="43"/>
        <v>0</v>
      </c>
      <c r="L74" s="235">
        <f t="shared" si="43"/>
        <v>0</v>
      </c>
      <c r="M74" s="235">
        <f t="shared" si="43"/>
        <v>0</v>
      </c>
      <c r="N74" s="235">
        <f t="shared" si="43"/>
        <v>0</v>
      </c>
      <c r="O74" s="235">
        <f t="shared" si="43"/>
        <v>0</v>
      </c>
      <c r="P74" s="235">
        <f t="shared" si="43"/>
        <v>0</v>
      </c>
      <c r="Q74" s="235">
        <f t="shared" si="43"/>
        <v>0</v>
      </c>
      <c r="R74" s="235">
        <f t="shared" si="43"/>
        <v>0</v>
      </c>
      <c r="S74" s="235">
        <f t="shared" si="43"/>
        <v>0</v>
      </c>
      <c r="T74" s="235">
        <f t="shared" si="43"/>
        <v>0</v>
      </c>
      <c r="U74" s="235">
        <f t="shared" si="43"/>
        <v>0</v>
      </c>
      <c r="V74" s="235">
        <f t="shared" si="43"/>
        <v>0</v>
      </c>
      <c r="W74" s="235">
        <f t="shared" si="43"/>
        <v>0</v>
      </c>
      <c r="X74" s="235">
        <f t="shared" si="43"/>
        <v>0</v>
      </c>
      <c r="Y74" s="235">
        <f t="shared" si="43"/>
        <v>0</v>
      </c>
      <c r="Z74" s="235">
        <f t="shared" si="43"/>
        <v>0</v>
      </c>
      <c r="AA74" s="235">
        <f t="shared" si="43"/>
        <v>0</v>
      </c>
      <c r="AB74" s="235">
        <f t="shared" si="43"/>
        <v>0</v>
      </c>
      <c r="AC74" s="235">
        <f t="shared" si="43"/>
        <v>0</v>
      </c>
      <c r="AD74" s="235">
        <f t="shared" si="43"/>
        <v>0</v>
      </c>
      <c r="AE74" s="235">
        <f t="shared" si="43"/>
        <v>0</v>
      </c>
      <c r="AF74" s="235">
        <f t="shared" si="43"/>
        <v>0</v>
      </c>
      <c r="AG74" s="235">
        <f t="shared" si="43"/>
        <v>0</v>
      </c>
      <c r="AH74" s="199"/>
      <c r="AI74" s="236">
        <f>+SUM(E74:AG74)</f>
        <v>4499.7290344416178</v>
      </c>
    </row>
    <row r="75" spans="1:35" ht="14.45" customHeight="1" x14ac:dyDescent="0.25"/>
    <row r="76" spans="1:35" ht="14.45" customHeight="1" x14ac:dyDescent="0.25"/>
    <row r="77" spans="1:35" ht="14.45" customHeight="1" x14ac:dyDescent="0.25"/>
    <row r="78" spans="1:35" ht="14.45" customHeight="1" x14ac:dyDescent="0.25"/>
    <row r="79" spans="1:35" ht="14.45" customHeight="1" x14ac:dyDescent="0.25"/>
    <row r="80" spans="1:35" ht="14.45" customHeight="1" x14ac:dyDescent="0.25"/>
    <row r="81" customFormat="1" ht="14.45" customHeight="1" x14ac:dyDescent="0.25"/>
    <row r="82" customFormat="1" ht="14.45" customHeight="1" x14ac:dyDescent="0.25"/>
    <row r="83" customFormat="1" ht="14.45" customHeight="1" x14ac:dyDescent="0.25"/>
    <row r="84" customFormat="1" ht="14.45" customHeight="1" x14ac:dyDescent="0.25"/>
    <row r="85" customFormat="1" ht="14.45" customHeight="1" x14ac:dyDescent="0.25"/>
    <row r="86" customFormat="1" ht="14.45" customHeight="1" x14ac:dyDescent="0.25"/>
    <row r="87" customFormat="1" ht="14.45" customHeight="1" x14ac:dyDescent="0.25"/>
    <row r="88" customFormat="1" ht="14.45" customHeight="1" x14ac:dyDescent="0.25"/>
  </sheetData>
  <mergeCells count="20">
    <mergeCell ref="A71:A72"/>
    <mergeCell ref="A62:A64"/>
    <mergeCell ref="A65:A70"/>
    <mergeCell ref="A43:B43"/>
    <mergeCell ref="A44:A46"/>
    <mergeCell ref="A47:A52"/>
    <mergeCell ref="A53:A54"/>
    <mergeCell ref="A61:B61"/>
    <mergeCell ref="A41:AI41"/>
    <mergeCell ref="A1:B1"/>
    <mergeCell ref="A3:B3"/>
    <mergeCell ref="A4:AI4"/>
    <mergeCell ref="A6:B6"/>
    <mergeCell ref="A7:A9"/>
    <mergeCell ref="A10:A15"/>
    <mergeCell ref="A16:A17"/>
    <mergeCell ref="A24:B24"/>
    <mergeCell ref="A25:A27"/>
    <mergeCell ref="A28:A33"/>
    <mergeCell ref="A34:A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DC36-5FDC-4654-B331-5B6010C0AD5B}">
  <dimension ref="A1"/>
  <sheetViews>
    <sheetView workbookViewId="0"/>
  </sheetViews>
  <sheetFormatPr baseColWidth="10" defaultRowHeight="15" x14ac:dyDescent="0.25"/>
  <sheetData>
    <row r="1" customFormat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10E25-55EE-4D54-A736-E8E532405C35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d4b2f266-c533-457a-89d9-a5c40a6bf05c"/>
    <ds:schemaRef ds:uri="http://schemas.microsoft.com/office/2006/metadata/properties"/>
    <ds:schemaRef ds:uri="http://schemas.openxmlformats.org/package/2006/metadata/core-properties"/>
    <ds:schemaRef ds:uri="23ffcbdd-96e7-4382-b510-0d674d67940b"/>
  </ds:schemaRefs>
</ds:datastoreItem>
</file>

<file path=customXml/itemProps3.xml><?xml version="1.0" encoding="utf-8"?>
<ds:datastoreItem xmlns:ds="http://schemas.openxmlformats.org/officeDocument/2006/customXml" ds:itemID="{7D624BC2-8505-4679-A922-7A20C6FC3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