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1676" documentId="8_{9D0DEC2F-002C-4EA0-A8E8-5DB80D644BF1}" xr6:coauthVersionLast="47" xr6:coauthVersionMax="47" xr10:uidLastSave="{7C95DE9F-07CC-4E1A-B8E8-C8A0A2177A99}"/>
  <bookViews>
    <workbookView xWindow="-120" yWindow="-120" windowWidth="20730" windowHeight="11160" xr2:uid="{65EA8566-DC1E-4FF9-8F61-CC6F42DA5822}"/>
  </bookViews>
  <sheets>
    <sheet name="Instrucciones" sheetId="4" r:id="rId1"/>
    <sheet name="Parametros" sheetId="1" r:id="rId2"/>
    <sheet name="CTP" sheetId="2" r:id="rId3"/>
    <sheet name="CTP Valor Presente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3" l="1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F29" i="3"/>
  <c r="G29" i="3"/>
  <c r="H29" i="3"/>
  <c r="I29" i="3"/>
  <c r="J29" i="3"/>
  <c r="K29" i="3"/>
  <c r="L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E26" i="3"/>
  <c r="E27" i="3"/>
  <c r="E28" i="3"/>
  <c r="E29" i="3"/>
  <c r="E30" i="3"/>
  <c r="E31" i="3"/>
  <c r="E32" i="3"/>
  <c r="E33" i="3"/>
  <c r="E34" i="3"/>
  <c r="E35" i="3"/>
  <c r="E36" i="3"/>
  <c r="F18" i="3"/>
  <c r="G18" i="3"/>
  <c r="H18" i="3"/>
  <c r="I18" i="3"/>
  <c r="J18" i="3"/>
  <c r="K18" i="3"/>
  <c r="L18" i="3"/>
  <c r="E18" i="3"/>
  <c r="C102" i="1"/>
  <c r="F17" i="3"/>
  <c r="G17" i="3"/>
  <c r="H17" i="3"/>
  <c r="I17" i="3"/>
  <c r="J17" i="3"/>
  <c r="K17" i="3"/>
  <c r="L17" i="3"/>
  <c r="E17" i="3"/>
  <c r="E16" i="3"/>
  <c r="K16" i="3"/>
  <c r="L16" i="3"/>
  <c r="F16" i="3"/>
  <c r="G16" i="3"/>
  <c r="H16" i="3"/>
  <c r="I16" i="3"/>
  <c r="J16" i="3"/>
  <c r="G15" i="3"/>
  <c r="F15" i="3"/>
  <c r="E15" i="3"/>
  <c r="C12" i="2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1" i="3"/>
  <c r="M29" i="3" s="1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C49" i="1"/>
  <c r="B55" i="1" s="1"/>
  <c r="B56" i="1" s="1"/>
  <c r="AI16" i="3" l="1"/>
  <c r="AI18" i="3"/>
  <c r="AI17" i="3"/>
  <c r="M19" i="3"/>
  <c r="AI34" i="3" l="1"/>
  <c r="AF37" i="3"/>
  <c r="R37" i="3"/>
  <c r="X37" i="3"/>
  <c r="P37" i="3"/>
  <c r="AD37" i="3"/>
  <c r="Z37" i="3"/>
  <c r="N37" i="3"/>
  <c r="AI35" i="3"/>
  <c r="V37" i="3"/>
  <c r="AI36" i="3"/>
  <c r="W37" i="3"/>
  <c r="O37" i="3"/>
  <c r="M37" i="3"/>
  <c r="AB37" i="3"/>
  <c r="T37" i="3"/>
  <c r="AG37" i="3"/>
  <c r="Y37" i="3"/>
  <c r="AE37" i="3"/>
  <c r="AC37" i="3"/>
  <c r="AA37" i="3"/>
  <c r="Q37" i="3"/>
  <c r="U37" i="3"/>
  <c r="S37" i="3"/>
  <c r="C11" i="1" l="1"/>
  <c r="C29" i="1"/>
  <c r="H13" i="1" s="1"/>
  <c r="H10" i="1"/>
  <c r="C8" i="1"/>
  <c r="C18" i="1" s="1"/>
  <c r="C55" i="1" l="1"/>
  <c r="G55" i="1"/>
  <c r="F55" i="1"/>
  <c r="C12" i="1"/>
  <c r="H11" i="1" s="1"/>
  <c r="C6" i="2" l="1"/>
  <c r="E9" i="3" s="1"/>
  <c r="AI27" i="3" l="1"/>
  <c r="AI9" i="3"/>
  <c r="C32" i="1"/>
  <c r="C30" i="1" l="1"/>
  <c r="C33" i="1" l="1"/>
  <c r="H12" i="1"/>
  <c r="C13" i="2"/>
  <c r="C103" i="1"/>
  <c r="H14" i="1"/>
  <c r="H9" i="1"/>
  <c r="H8" i="1"/>
  <c r="C4" i="2" l="1"/>
  <c r="L14" i="3" l="1"/>
  <c r="E14" i="3"/>
  <c r="K14" i="3"/>
  <c r="G14" i="3"/>
  <c r="H14" i="3"/>
  <c r="E7" i="3"/>
  <c r="I14" i="3"/>
  <c r="J14" i="3"/>
  <c r="F14" i="3"/>
  <c r="C33" i="2"/>
  <c r="C11" i="2"/>
  <c r="C8" i="2"/>
  <c r="C7" i="2"/>
  <c r="E10" i="3" s="1"/>
  <c r="C9" i="2"/>
  <c r="C10" i="2"/>
  <c r="C39" i="2" l="1"/>
  <c r="E13" i="3"/>
  <c r="I19" i="3"/>
  <c r="I37" i="3"/>
  <c r="L19" i="3"/>
  <c r="L37" i="3"/>
  <c r="C38" i="2"/>
  <c r="E12" i="3"/>
  <c r="E25" i="3"/>
  <c r="AI25" i="3" s="1"/>
  <c r="AI7" i="3"/>
  <c r="C37" i="2"/>
  <c r="E11" i="3"/>
  <c r="G37" i="3"/>
  <c r="G19" i="3"/>
  <c r="AI14" i="3"/>
  <c r="J37" i="3"/>
  <c r="J19" i="3"/>
  <c r="AI10" i="3"/>
  <c r="AI28" i="3"/>
  <c r="H37" i="3"/>
  <c r="H19" i="3"/>
  <c r="K19" i="3"/>
  <c r="K37" i="3"/>
  <c r="C41" i="2"/>
  <c r="C36" i="2"/>
  <c r="C98" i="2"/>
  <c r="D98" i="2" s="1"/>
  <c r="C40" i="2"/>
  <c r="C97" i="2"/>
  <c r="C96" i="2"/>
  <c r="C35" i="2"/>
  <c r="AI29" i="3" l="1"/>
  <c r="AI11" i="3"/>
  <c r="AI31" i="3"/>
  <c r="AI13" i="3"/>
  <c r="AI32" i="3"/>
  <c r="AI12" i="3"/>
  <c r="D96" i="2"/>
  <c r="D97" i="2"/>
  <c r="B131" i="2"/>
  <c r="D157" i="2" s="1"/>
  <c r="AI30" i="3" l="1"/>
  <c r="H7" i="1"/>
  <c r="C122" i="2" l="1"/>
  <c r="C121" i="2"/>
  <c r="C120" i="2"/>
  <c r="C42" i="2" l="1"/>
  <c r="B57" i="1" l="1"/>
  <c r="D93" i="2"/>
  <c r="C93" i="2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C57" i="1"/>
  <c r="G56" i="1"/>
  <c r="C56" i="1"/>
  <c r="F56" i="1"/>
  <c r="F58" i="1" l="1"/>
  <c r="C58" i="1"/>
  <c r="G58" i="1"/>
  <c r="G57" i="1"/>
  <c r="F57" i="1"/>
  <c r="C5" i="2"/>
  <c r="E8" i="3" s="1"/>
  <c r="AI8" i="3" l="1"/>
  <c r="E19" i="3"/>
  <c r="F59" i="1"/>
  <c r="C59" i="1"/>
  <c r="G59" i="1"/>
  <c r="C34" i="2"/>
  <c r="C116" i="2" s="1"/>
  <c r="C117" i="2"/>
  <c r="C92" i="2"/>
  <c r="C115" i="2"/>
  <c r="C95" i="2"/>
  <c r="D95" i="2" s="1"/>
  <c r="AI26" i="3" l="1"/>
  <c r="E37" i="3"/>
  <c r="F60" i="1"/>
  <c r="C60" i="1"/>
  <c r="G60" i="1"/>
  <c r="I30" i="1"/>
  <c r="C118" i="2"/>
  <c r="F33" i="2"/>
  <c r="F35" i="2"/>
  <c r="H30" i="1"/>
  <c r="D120" i="2" s="1"/>
  <c r="D92" i="2"/>
  <c r="B132" i="2"/>
  <c r="D158" i="2" s="1"/>
  <c r="B130" i="2"/>
  <c r="D156" i="2" s="1"/>
  <c r="H32" i="1"/>
  <c r="H33" i="1" s="1"/>
  <c r="I32" i="1"/>
  <c r="I33" i="1" s="1"/>
  <c r="F61" i="1" l="1"/>
  <c r="C61" i="1"/>
  <c r="G61" i="1"/>
  <c r="E119" i="2"/>
  <c r="D100" i="2"/>
  <c r="E124" i="2" s="1"/>
  <c r="E122" i="2"/>
  <c r="E120" i="2"/>
  <c r="E121" i="2"/>
  <c r="C100" i="2"/>
  <c r="D124" i="2" s="1"/>
  <c r="D122" i="2"/>
  <c r="D121" i="2"/>
  <c r="D116" i="2"/>
  <c r="E117" i="2"/>
  <c r="E116" i="2"/>
  <c r="F34" i="2"/>
  <c r="D119" i="2"/>
  <c r="D117" i="2"/>
  <c r="F102" i="1"/>
  <c r="G102" i="1"/>
  <c r="C119" i="2"/>
  <c r="G62" i="1" l="1"/>
  <c r="D101" i="2" s="1"/>
  <c r="F62" i="1"/>
  <c r="C101" i="2" s="1"/>
  <c r="C62" i="1"/>
  <c r="C14" i="2" s="1"/>
  <c r="C15" i="2" s="1"/>
  <c r="D102" i="2"/>
  <c r="E126" i="2" s="1"/>
  <c r="C102" i="2"/>
  <c r="D126" i="2" s="1"/>
  <c r="C91" i="2"/>
  <c r="D115" i="2" s="1"/>
  <c r="F63" i="1" l="1"/>
  <c r="C63" i="1"/>
  <c r="G63" i="1"/>
  <c r="C16" i="2"/>
  <c r="C20" i="2"/>
  <c r="C21" i="2" s="1"/>
  <c r="C43" i="2"/>
  <c r="D91" i="2"/>
  <c r="E115" i="2" s="1"/>
  <c r="F64" i="1" l="1"/>
  <c r="G64" i="1"/>
  <c r="C64" i="1"/>
  <c r="C94" i="2"/>
  <c r="D118" i="2" s="1"/>
  <c r="C17" i="2"/>
  <c r="G65" i="1" l="1"/>
  <c r="F65" i="1"/>
  <c r="C65" i="1"/>
  <c r="C44" i="2"/>
  <c r="C126" i="2" s="1"/>
  <c r="C123" i="2"/>
  <c r="C99" i="2"/>
  <c r="D123" i="2" s="1"/>
  <c r="D94" i="2"/>
  <c r="E118" i="2" s="1"/>
  <c r="C124" i="2"/>
  <c r="F66" i="1" l="1"/>
  <c r="C66" i="1"/>
  <c r="G66" i="1"/>
  <c r="D99" i="2"/>
  <c r="E123" i="2" s="1"/>
  <c r="F67" i="1" l="1"/>
  <c r="C67" i="1"/>
  <c r="G67" i="1"/>
  <c r="F68" i="1" l="1"/>
  <c r="C68" i="1"/>
  <c r="G68" i="1"/>
  <c r="F69" i="1" l="1"/>
  <c r="C69" i="1"/>
  <c r="G69" i="1"/>
  <c r="C70" i="1" l="1"/>
  <c r="G70" i="1"/>
  <c r="F70" i="1"/>
  <c r="C71" i="1" l="1"/>
  <c r="F71" i="1"/>
  <c r="G71" i="1"/>
  <c r="C72" i="1" l="1"/>
  <c r="F72" i="1"/>
  <c r="G72" i="1"/>
  <c r="G73" i="1" l="1"/>
  <c r="F73" i="1"/>
  <c r="C73" i="1"/>
  <c r="F74" i="1" l="1"/>
  <c r="C74" i="1"/>
  <c r="G74" i="1"/>
  <c r="F75" i="1" l="1"/>
  <c r="C75" i="1"/>
  <c r="G75" i="1"/>
  <c r="F76" i="1" l="1"/>
  <c r="C76" i="1"/>
  <c r="G76" i="1"/>
  <c r="F77" i="1" l="1"/>
  <c r="C77" i="1"/>
  <c r="G77" i="1"/>
  <c r="C78" i="1" l="1"/>
  <c r="F78" i="1"/>
  <c r="G78" i="1"/>
  <c r="F79" i="1" l="1"/>
  <c r="C79" i="1"/>
  <c r="G79" i="1"/>
  <c r="E125" i="2"/>
  <c r="E127" i="2" s="1"/>
  <c r="D125" i="2"/>
  <c r="D127" i="2" s="1"/>
  <c r="C132" i="2" s="1"/>
  <c r="C80" i="1" l="1"/>
  <c r="G80" i="1"/>
  <c r="F80" i="1"/>
  <c r="C130" i="2"/>
  <c r="F156" i="2" s="1"/>
  <c r="E156" i="2" s="1"/>
  <c r="C125" i="2"/>
  <c r="C108" i="2"/>
  <c r="C109" i="2" s="1"/>
  <c r="C104" i="2"/>
  <c r="C105" i="2" s="1"/>
  <c r="C103" i="2"/>
  <c r="F158" i="2"/>
  <c r="E158" i="2" s="1"/>
  <c r="D108" i="2"/>
  <c r="D109" i="2" s="1"/>
  <c r="D104" i="2"/>
  <c r="D105" i="2" s="1"/>
  <c r="G81" i="1" l="1"/>
  <c r="F81" i="1"/>
  <c r="C81" i="1"/>
  <c r="D4" i="2"/>
  <c r="D9" i="2"/>
  <c r="D10" i="2"/>
  <c r="D11" i="2"/>
  <c r="C18" i="2"/>
  <c r="C19" i="2" s="1"/>
  <c r="C127" i="2"/>
  <c r="C131" i="2" s="1"/>
  <c r="D5" i="2"/>
  <c r="D12" i="2"/>
  <c r="D8" i="2"/>
  <c r="D6" i="2"/>
  <c r="D13" i="2"/>
  <c r="D7" i="2"/>
  <c r="D14" i="2"/>
  <c r="AI15" i="3" l="1"/>
  <c r="F19" i="3"/>
  <c r="AI19" i="3" s="1"/>
  <c r="F82" i="1"/>
  <c r="C82" i="1"/>
  <c r="G82" i="1"/>
  <c r="D130" i="2"/>
  <c r="F157" i="2"/>
  <c r="E157" i="2" s="1"/>
  <c r="C24" i="2"/>
  <c r="D131" i="2"/>
  <c r="D132" i="2"/>
  <c r="AI33" i="3" l="1"/>
  <c r="F37" i="3"/>
  <c r="AI37" i="3" s="1"/>
  <c r="F83" i="1"/>
  <c r="C83" i="1"/>
  <c r="G83" i="1"/>
  <c r="C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Marquez</author>
    <author>NATHALIA ORTIZ</author>
  </authors>
  <commentList>
    <comment ref="A49" authorId="0" shapeId="0" xr:uid="{0D1B726E-4FCF-4AAC-92A9-3CF3A9C9766D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B53" authorId="1" shapeId="0" xr:uid="{294F9297-B0B4-4519-9931-D7E5C1ADDD47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C53" authorId="1" shapeId="0" xr:uid="{CD1A7AAF-F517-4E12-93B2-451106ADBC4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inlcuyendo costo fijo</t>
        </r>
      </text>
    </comment>
    <comment ref="F53" authorId="1" shapeId="0" xr:uid="{6D5D72DA-21B8-406C-8102-2F6E8E3EE18D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inlcuyendo costo fijo</t>
        </r>
      </text>
    </comment>
    <comment ref="G53" authorId="1" shapeId="0" xr:uid="{2F149210-EFF2-492B-9C27-C3F98085952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inlcuyendo costo fijo</t>
        </r>
      </text>
    </comment>
  </commentList>
</comments>
</file>

<file path=xl/sharedStrings.xml><?xml version="1.0" encoding="utf-8"?>
<sst xmlns="http://schemas.openxmlformats.org/spreadsheetml/2006/main" count="345" uniqueCount="160">
  <si>
    <t>CAPEX</t>
  </si>
  <si>
    <t>USD</t>
  </si>
  <si>
    <t>USD/km</t>
  </si>
  <si>
    <t>kWh/km</t>
  </si>
  <si>
    <t>%CAPEX</t>
  </si>
  <si>
    <t>USD/kWh</t>
  </si>
  <si>
    <t>kWh</t>
  </si>
  <si>
    <t>km</t>
  </si>
  <si>
    <t>days/year</t>
  </si>
  <si>
    <t>%</t>
  </si>
  <si>
    <t>https://www.xe.com/currencyconverter/convert/?Amount=1&amp;From=UYU&amp;To=USD</t>
  </si>
  <si>
    <t>tCO2/MWh</t>
  </si>
  <si>
    <t>USD/tCO2e</t>
  </si>
  <si>
    <t>1- CAPEX</t>
  </si>
  <si>
    <t>2- ADMIN</t>
  </si>
  <si>
    <t>3- O&amp;M</t>
  </si>
  <si>
    <t>tCO2e</t>
  </si>
  <si>
    <t>TOTAL</t>
  </si>
  <si>
    <t>BEV</t>
  </si>
  <si>
    <t>TCO</t>
  </si>
  <si>
    <t>KWh</t>
  </si>
  <si>
    <t>https://www.energy.gov/sites/prod/files/2017/02/f34/67089%20EERE%20LIB%20cost%20vs%20price%20metrics%20r9.pdf</t>
  </si>
  <si>
    <t>CAPEX LCV</t>
  </si>
  <si>
    <t>MIEM 2018</t>
  </si>
  <si>
    <t>IMESI</t>
  </si>
  <si>
    <t>TGA</t>
  </si>
  <si>
    <t>Patente año 1</t>
  </si>
  <si>
    <t>BCU (2020)</t>
  </si>
  <si>
    <t>Patente año 2+</t>
  </si>
  <si>
    <t>Equity</t>
  </si>
  <si>
    <t>Eficiencia vehicular</t>
  </si>
  <si>
    <t>Costos de mantenimiento</t>
  </si>
  <si>
    <t>años</t>
  </si>
  <si>
    <t>Tamaño de la batería</t>
  </si>
  <si>
    <t>Vida útil de la batería</t>
  </si>
  <si>
    <t>Parámetro</t>
  </si>
  <si>
    <t>Unidad</t>
  </si>
  <si>
    <t>Valor</t>
  </si>
  <si>
    <t>Fuente</t>
  </si>
  <si>
    <t>CAPEX cargador</t>
  </si>
  <si>
    <t>Vida útil del cargador</t>
  </si>
  <si>
    <t>Reducción del costo de la batería 2020-2028</t>
  </si>
  <si>
    <t>Proyecciones del US DOE</t>
  </si>
  <si>
    <t>Reducción del costo de la batería 2020-2038</t>
  </si>
  <si>
    <t>2 - Datos de actividad</t>
  </si>
  <si>
    <t>Sensibilidad</t>
  </si>
  <si>
    <t>Kilómetros por año</t>
  </si>
  <si>
    <t>Total kilómetros BEV</t>
  </si>
  <si>
    <t>Días operativos por año</t>
  </si>
  <si>
    <t>Recorrido diario</t>
  </si>
  <si>
    <t>Consumo de energía diario</t>
  </si>
  <si>
    <t>km/año</t>
  </si>
  <si>
    <t>días/año</t>
  </si>
  <si>
    <t>Valor estándar</t>
  </si>
  <si>
    <t>Calculado</t>
  </si>
  <si>
    <t>Proporción de la financiación de la deuda</t>
  </si>
  <si>
    <t>Tenencia del préstamo</t>
  </si>
  <si>
    <t>Moneda local a USD</t>
  </si>
  <si>
    <t>3 - Costos de financiamiento</t>
  </si>
  <si>
    <t>4 - Costos de energía</t>
  </si>
  <si>
    <t>5 - Impuestos</t>
  </si>
  <si>
    <t>Tasa consular</t>
  </si>
  <si>
    <t>IVA</t>
  </si>
  <si>
    <t>Proyección CAPEX</t>
  </si>
  <si>
    <t>Año</t>
  </si>
  <si>
    <t>FE red (tCO2/MWh)</t>
  </si>
  <si>
    <t>Costo de CO2e</t>
  </si>
  <si>
    <t>Sensibilidad Costos de emisión</t>
  </si>
  <si>
    <t>1 - Información del vehículo</t>
  </si>
  <si>
    <t>CAPEX cargador para casa</t>
  </si>
  <si>
    <t>CAPEX batería</t>
  </si>
  <si>
    <t>%/año</t>
  </si>
  <si>
    <t>Mon. local/USD</t>
  </si>
  <si>
    <t>Electricidad - carga en casa</t>
  </si>
  <si>
    <t>Electricidad</t>
  </si>
  <si>
    <t>6 - Emisiones GEI</t>
  </si>
  <si>
    <t>CTP 2021</t>
  </si>
  <si>
    <t>Contribución</t>
  </si>
  <si>
    <t>Reemplazo de batería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</si>
  <si>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</si>
  <si>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</si>
  <si>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</si>
  <si>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</si>
  <si>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</si>
  <si>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</si>
  <si>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</si>
  <si>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</si>
  <si>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</si>
  <si>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USD/año</t>
  </si>
  <si>
    <t>CTP 2021 (USD/km)</t>
  </si>
  <si>
    <t>Inversión de capital</t>
  </si>
  <si>
    <t>Préstamo</t>
  </si>
  <si>
    <t>Fuente:</t>
  </si>
  <si>
    <t>año</t>
  </si>
  <si>
    <t>Motocicleta eléctrica</t>
  </si>
  <si>
    <t>Uso intensivo</t>
  </si>
  <si>
    <t>Uso bajo</t>
  </si>
  <si>
    <t>https://enveurope.springeropen.com/articles/10.1186/s12302-020-00307-8</t>
  </si>
  <si>
    <t>Patente</t>
  </si>
  <si>
    <t>Carga Motocicleta eléctrica</t>
  </si>
  <si>
    <t>Eléctrica</t>
  </si>
  <si>
    <t>Eléctrico
Uso intensivo</t>
  </si>
  <si>
    <t>Eléctrico
Uso bajo</t>
  </si>
  <si>
    <t>Eléctrico
Uso medio</t>
  </si>
  <si>
    <t>CAPEX infraestructura de carga</t>
  </si>
  <si>
    <t>Factor de uso</t>
  </si>
  <si>
    <t>Días operativos</t>
  </si>
  <si>
    <t>Tipo de uso</t>
  </si>
  <si>
    <t>Kilometraje anual</t>
  </si>
  <si>
    <t>Bajo</t>
  </si>
  <si>
    <t>Medio</t>
  </si>
  <si>
    <t>Intensivo</t>
  </si>
  <si>
    <t>1350km en un periodo de 2.3 meses</t>
  </si>
  <si>
    <t>Reporte de pruebas tecnológicas del proyecto Movés</t>
  </si>
  <si>
    <t>CTP Bicicletas de pedaleo asistido</t>
  </si>
  <si>
    <t>https://wheele.com.uy/index.php/productos/bicicletas-el%C3%A9ctricas/bicicleta-el%C3%A9ctrica-extra-cargo-24-34-detail</t>
  </si>
  <si>
    <t>Promedio consultando varias marcas</t>
  </si>
  <si>
    <t>1 incluida con la bicicleta y otra de reemplazo</t>
  </si>
  <si>
    <t>https://www.bbva.com/es/sostenibilidad/cuanto-dura-la-bateria-de-una-bicicleta-electrica-y-como-se-puede-alargar-su-vida-util/</t>
  </si>
  <si>
    <t xml:space="preserve">(1 reemplazo de batería) </t>
  </si>
  <si>
    <t>Incluído con la bicicleta</t>
  </si>
  <si>
    <t>https://bicyclevolt.com/electric-bike-maintenance-cost/</t>
  </si>
  <si>
    <t>https://ebikeshq.com/electric-bike-battery-cost/</t>
  </si>
  <si>
    <t>Bicicleta Eléctrica de Pedaleo Asistido</t>
  </si>
  <si>
    <t>Vida útil de la bicicleta</t>
  </si>
  <si>
    <t>Subsidios (USD/bici)</t>
  </si>
  <si>
    <t>CAPEX bicicleta</t>
  </si>
  <si>
    <t>Bicicleta eléctrica</t>
  </si>
  <si>
    <t>30 USD / año</t>
  </si>
  <si>
    <t>Misma vida útil de la bicicleta</t>
  </si>
  <si>
    <t>Vida útil bicicleta</t>
  </si>
  <si>
    <t>Vida útil batería</t>
  </si>
  <si>
    <t xml:space="preserve">Mantenimiento </t>
  </si>
  <si>
    <t>Aumento costo electricidad</t>
  </si>
  <si>
    <t>Santander BBVA</t>
  </si>
  <si>
    <t>Los cálculos se realizan sin considerar proyecciones de costo de la energía</t>
  </si>
  <si>
    <t>Valle</t>
  </si>
  <si>
    <t>(UYU/kWh)</t>
  </si>
  <si>
    <t>(USD/kWh)</t>
  </si>
  <si>
    <t>Precio electricidad</t>
  </si>
  <si>
    <t>https://www.ute.com.uy/sites/default/files/docs/Pliego%20Tarifario%20Vigente%20desde%201%20de%20Enero%20de%202022.pdf</t>
  </si>
  <si>
    <t>Tasa de descuento</t>
  </si>
  <si>
    <t>Costos (VP)</t>
  </si>
  <si>
    <t>Total</t>
  </si>
  <si>
    <t>CAPEX Motocicleta</t>
  </si>
  <si>
    <t>5 - Emisiones</t>
  </si>
  <si>
    <t>Factor de descuento</t>
  </si>
  <si>
    <t>Costos descontados</t>
  </si>
  <si>
    <t>Flujo de caja - Bicicleta</t>
  </si>
  <si>
    <t>BICICLETA ELÉCTRICA</t>
  </si>
  <si>
    <t>Tasa de interés</t>
  </si>
  <si>
    <t xml:space="preserve">Emisiones totales </t>
  </si>
  <si>
    <t>Costo Emisiones</t>
  </si>
  <si>
    <t>INSTRUCCIONES PARA EL USO DE LA HERRAMIENTA</t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</si>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</sst>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\ #,##0.00"/>
    <numFmt numFmtId="169" formatCode="&quot;$&quot;#,##0.00"/>
    <numFmt numFmtId="170" formatCode="&quot;$&quot;#,##0.000"/>
    <numFmt numFmtId="171" formatCode="&quot;$&quot;\ #,##0"/>
    <numFmt numFmtId="172" formatCode="_-* #,##0.000_-;\-* #,##0.000_-;_-* &quot;-&quot;_-;_-@_-"/>
    <numFmt numFmtId="173" formatCode="0.0"/>
    <numFmt numFmtId="174" formatCode="_-&quot;$&quot;\ * #,##0.0_-;\-&quot;$&quot;\ * #,##0.0_-;_-&quot;$&quot;\ * &quot;-&quot;??_-;_-@_-"/>
    <numFmt numFmtId="175" formatCode="&quot;$&quot;#,##0.0"/>
    <numFmt numFmtId="176" formatCode="_-&quot;$&quot;\ * #,##0.000_-;\-&quot;$&quot;\ * #,##0.000_-;_-&quot;$&quot;\ * &quot;-&quot;??_-;_-@_-"/>
    <numFmt numFmtId="177" formatCode="_-&quot;$&quot;\ * #,##0.00_-;\-&quot;$&quot;\ * #,##0.00_-;_-&quot;$&quot;\ * &quot;-&quot;_-;_-@_-"/>
    <numFmt numFmtId="178" formatCode="_-&quot;$&quot;\ * #,##0.0_-;\-&quot;$&quot;\ * #,##0.0_-;_-&quot;$&quot;\ * &quot;-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rgb="FF00B050"/>
      <name val="Century Gothic"/>
      <family val="2"/>
    </font>
    <font>
      <b/>
      <sz val="11"/>
      <color theme="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2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4" fillId="8" borderId="0" xfId="0" applyNumberFormat="1" applyFont="1" applyFill="1" applyAlignment="1">
      <alignment horizontal="center" vertical="center"/>
    </xf>
    <xf numFmtId="2" fontId="5" fillId="5" borderId="0" xfId="3" applyNumberFormat="1" applyFill="1" applyAlignment="1">
      <alignment horizontal="left" vertical="center" wrapText="1"/>
    </xf>
    <xf numFmtId="0" fontId="9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4" borderId="1" xfId="0" applyFont="1" applyFill="1" applyBorder="1"/>
    <xf numFmtId="0" fontId="9" fillId="4" borderId="2" xfId="0" applyFont="1" applyFill="1" applyBorder="1"/>
    <xf numFmtId="0" fontId="4" fillId="0" borderId="0" xfId="0" applyFont="1" applyFill="1"/>
    <xf numFmtId="0" fontId="9" fillId="4" borderId="0" xfId="0" applyFont="1" applyFill="1" applyBorder="1"/>
    <xf numFmtId="167" fontId="4" fillId="10" borderId="0" xfId="0" applyNumberFormat="1" applyFont="1" applyFill="1" applyBorder="1"/>
    <xf numFmtId="167" fontId="4" fillId="10" borderId="2" xfId="0" applyNumberFormat="1" applyFont="1" applyFill="1" applyBorder="1"/>
    <xf numFmtId="167" fontId="4" fillId="10" borderId="1" xfId="0" applyNumberFormat="1" applyFont="1" applyFill="1" applyBorder="1"/>
    <xf numFmtId="0" fontId="4" fillId="10" borderId="0" xfId="0" applyFont="1" applyFill="1" applyBorder="1" applyAlignment="1">
      <alignment horizontal="center" vertical="center" wrapText="1"/>
    </xf>
    <xf numFmtId="10" fontId="2" fillId="10" borderId="0" xfId="0" applyNumberFormat="1" applyFont="1" applyFill="1" applyBorder="1"/>
    <xf numFmtId="170" fontId="2" fillId="10" borderId="0" xfId="0" applyNumberFormat="1" applyFont="1" applyFill="1" applyBorder="1"/>
    <xf numFmtId="167" fontId="4" fillId="10" borderId="3" xfId="0" applyNumberFormat="1" applyFont="1" applyFill="1" applyBorder="1"/>
    <xf numFmtId="167" fontId="2" fillId="10" borderId="0" xfId="0" applyNumberFormat="1" applyFont="1" applyFill="1" applyBorder="1"/>
    <xf numFmtId="168" fontId="2" fillId="10" borderId="0" xfId="0" applyNumberFormat="1" applyFont="1" applyFill="1" applyBorder="1"/>
    <xf numFmtId="168" fontId="2" fillId="10" borderId="0" xfId="1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6" fillId="11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70" fontId="2" fillId="0" borderId="0" xfId="0" applyNumberFormat="1" applyFont="1" applyFill="1" applyBorder="1"/>
    <xf numFmtId="167" fontId="4" fillId="0" borderId="0" xfId="0" applyNumberFormat="1" applyFont="1"/>
    <xf numFmtId="0" fontId="4" fillId="9" borderId="0" xfId="0" applyFont="1" applyFill="1"/>
    <xf numFmtId="0" fontId="6" fillId="9" borderId="0" xfId="0" applyFont="1" applyFill="1"/>
    <xf numFmtId="10" fontId="4" fillId="10" borderId="6" xfId="0" applyNumberFormat="1" applyFont="1" applyFill="1" applyBorder="1"/>
    <xf numFmtId="10" fontId="4" fillId="10" borderId="8" xfId="0" applyNumberFormat="1" applyFont="1" applyFill="1" applyBorder="1"/>
    <xf numFmtId="10" fontId="4" fillId="10" borderId="10" xfId="0" applyNumberFormat="1" applyFont="1" applyFill="1" applyBorder="1"/>
    <xf numFmtId="0" fontId="12" fillId="0" borderId="0" xfId="0" applyFont="1" applyFill="1" applyBorder="1" applyAlignment="1">
      <alignment horizontal="right"/>
    </xf>
    <xf numFmtId="167" fontId="13" fillId="0" borderId="0" xfId="0" applyNumberFormat="1" applyFont="1"/>
    <xf numFmtId="0" fontId="9" fillId="2" borderId="11" xfId="0" applyFont="1" applyFill="1" applyBorder="1" applyAlignment="1">
      <alignment horizontal="center" vertical="center"/>
    </xf>
    <xf numFmtId="0" fontId="9" fillId="4" borderId="12" xfId="0" applyFont="1" applyFill="1" applyBorder="1"/>
    <xf numFmtId="10" fontId="4" fillId="10" borderId="13" xfId="0" applyNumberFormat="1" applyFont="1" applyFill="1" applyBorder="1"/>
    <xf numFmtId="0" fontId="9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1" fontId="4" fillId="10" borderId="1" xfId="1" applyNumberFormat="1" applyFont="1" applyFill="1" applyBorder="1"/>
    <xf numFmtId="171" fontId="4" fillId="10" borderId="0" xfId="1" applyNumberFormat="1" applyFont="1" applyFill="1" applyBorder="1"/>
    <xf numFmtId="171" fontId="4" fillId="10" borderId="2" xfId="1" applyNumberFormat="1" applyFont="1" applyFill="1" applyBorder="1"/>
    <xf numFmtId="170" fontId="4" fillId="10" borderId="3" xfId="0" applyNumberFormat="1" applyFont="1" applyFill="1" applyBorder="1"/>
    <xf numFmtId="170" fontId="4" fillId="10" borderId="0" xfId="0" applyNumberFormat="1" applyFont="1" applyFill="1" applyBorder="1"/>
    <xf numFmtId="170" fontId="4" fillId="10" borderId="2" xfId="0" applyNumberFormat="1" applyFont="1" applyFill="1" applyBorder="1"/>
    <xf numFmtId="170" fontId="4" fillId="10" borderId="1" xfId="0" applyNumberFormat="1" applyFont="1" applyFill="1" applyBorder="1"/>
    <xf numFmtId="170" fontId="4" fillId="10" borderId="4" xfId="0" applyNumberFormat="1" applyFont="1" applyFill="1" applyBorder="1"/>
    <xf numFmtId="0" fontId="4" fillId="0" borderId="0" xfId="0" applyFont="1" applyAlignment="1">
      <alignment horizontal="right"/>
    </xf>
    <xf numFmtId="170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4" borderId="0" xfId="0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167" fontId="4" fillId="14" borderId="2" xfId="0" applyNumberFormat="1" applyFont="1" applyFill="1" applyBorder="1"/>
    <xf numFmtId="0" fontId="5" fillId="5" borderId="8" xfId="3" applyFill="1" applyBorder="1" applyAlignment="1">
      <alignment vertical="center" wrapText="1"/>
    </xf>
    <xf numFmtId="166" fontId="4" fillId="0" borderId="0" xfId="0" applyNumberFormat="1" applyFont="1" applyFill="1" applyAlignment="1">
      <alignment horizontal="center" vertical="center"/>
    </xf>
    <xf numFmtId="10" fontId="4" fillId="8" borderId="0" xfId="0" applyNumberFormat="1" applyFont="1" applyFill="1" applyAlignment="1">
      <alignment horizontal="center" vertical="center"/>
    </xf>
    <xf numFmtId="171" fontId="2" fillId="10" borderId="0" xfId="1" applyNumberFormat="1" applyFont="1" applyFill="1" applyBorder="1"/>
    <xf numFmtId="167" fontId="4" fillId="0" borderId="0" xfId="1" applyNumberFormat="1" applyFont="1"/>
    <xf numFmtId="9" fontId="4" fillId="0" borderId="0" xfId="0" applyNumberFormat="1" applyFont="1" applyFill="1"/>
    <xf numFmtId="41" fontId="4" fillId="0" borderId="0" xfId="5" applyFont="1" applyFill="1" applyBorder="1"/>
    <xf numFmtId="172" fontId="2" fillId="10" borderId="0" xfId="5" applyNumberFormat="1" applyFont="1" applyFill="1" applyBorder="1"/>
    <xf numFmtId="0" fontId="5" fillId="5" borderId="0" xfId="3" applyFill="1" applyAlignment="1">
      <alignment horizontal="left" vertical="center"/>
    </xf>
    <xf numFmtId="0" fontId="9" fillId="4" borderId="0" xfId="0" applyFont="1" applyFill="1"/>
    <xf numFmtId="1" fontId="4" fillId="8" borderId="0" xfId="2" applyNumberFormat="1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4" fillId="8" borderId="0" xfId="2" applyNumberFormat="1" applyFont="1" applyFill="1" applyAlignment="1">
      <alignment horizontal="center" vertical="center"/>
    </xf>
    <xf numFmtId="0" fontId="5" fillId="5" borderId="0" xfId="3" applyFill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vertical="center"/>
    </xf>
    <xf numFmtId="0" fontId="5" fillId="5" borderId="8" xfId="3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4" fillId="7" borderId="0" xfId="1" applyNumberFormat="1" applyFont="1" applyFill="1" applyAlignment="1">
      <alignment horizontal="center" vertical="center"/>
    </xf>
    <xf numFmtId="2" fontId="4" fillId="7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5" fillId="0" borderId="0" xfId="3" applyAlignment="1">
      <alignment vertical="center"/>
    </xf>
    <xf numFmtId="170" fontId="2" fillId="15" borderId="0" xfId="1" applyNumberFormat="1" applyFont="1" applyFill="1" applyBorder="1"/>
    <xf numFmtId="0" fontId="4" fillId="1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" fontId="2" fillId="5" borderId="0" xfId="1" applyNumberFormat="1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171" fontId="2" fillId="16" borderId="14" xfId="0" applyNumberFormat="1" applyFont="1" applyFill="1" applyBorder="1" applyAlignment="1">
      <alignment horizontal="center" vertical="center"/>
    </xf>
    <xf numFmtId="170" fontId="2" fillId="16" borderId="14" xfId="0" applyNumberFormat="1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 vertical="center"/>
    </xf>
    <xf numFmtId="171" fontId="2" fillId="17" borderId="14" xfId="0" applyNumberFormat="1" applyFont="1" applyFill="1" applyBorder="1" applyAlignment="1">
      <alignment horizontal="center" vertical="center"/>
    </xf>
    <xf numFmtId="170" fontId="2" fillId="17" borderId="14" xfId="0" applyNumberFormat="1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 vertical="center"/>
    </xf>
    <xf numFmtId="171" fontId="2" fillId="18" borderId="14" xfId="0" applyNumberFormat="1" applyFont="1" applyFill="1" applyBorder="1" applyAlignment="1">
      <alignment horizontal="center" vertical="center"/>
    </xf>
    <xf numFmtId="170" fontId="2" fillId="18" borderId="14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173" fontId="4" fillId="6" borderId="0" xfId="0" applyNumberFormat="1" applyFont="1" applyFill="1" applyAlignment="1">
      <alignment horizontal="center" vertical="center"/>
    </xf>
    <xf numFmtId="174" fontId="4" fillId="7" borderId="0" xfId="1" applyNumberFormat="1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74" fontId="4" fillId="5" borderId="0" xfId="1" applyNumberFormat="1" applyFont="1" applyFill="1" applyAlignment="1">
      <alignment horizontal="center" vertical="center" wrapText="1"/>
    </xf>
    <xf numFmtId="175" fontId="4" fillId="14" borderId="0" xfId="0" applyNumberFormat="1" applyFont="1" applyFill="1" applyBorder="1"/>
    <xf numFmtId="175" fontId="4" fillId="14" borderId="0" xfId="1" applyNumberFormat="1" applyFont="1" applyFill="1" applyBorder="1"/>
    <xf numFmtId="175" fontId="4" fillId="10" borderId="12" xfId="0" applyNumberFormat="1" applyFont="1" applyFill="1" applyBorder="1"/>
    <xf numFmtId="169" fontId="4" fillId="10" borderId="3" xfId="0" applyNumberFormat="1" applyFont="1" applyFill="1" applyBorder="1"/>
    <xf numFmtId="169" fontId="4" fillId="10" borderId="0" xfId="4" applyNumberFormat="1" applyFont="1" applyFill="1" applyBorder="1"/>
    <xf numFmtId="169" fontId="4" fillId="10" borderId="1" xfId="4" applyNumberFormat="1" applyFont="1" applyFill="1" applyBorder="1"/>
    <xf numFmtId="169" fontId="4" fillId="10" borderId="4" xfId="4" applyNumberFormat="1" applyFont="1" applyFill="1" applyBorder="1"/>
    <xf numFmtId="169" fontId="4" fillId="10" borderId="3" xfId="4" applyNumberFormat="1" applyFont="1" applyFill="1" applyBorder="1"/>
    <xf numFmtId="2" fontId="2" fillId="5" borderId="0" xfId="1" applyNumberFormat="1" applyFont="1" applyFill="1" applyBorder="1" applyAlignment="1">
      <alignment horizontal="center" vertical="center"/>
    </xf>
    <xf numFmtId="176" fontId="2" fillId="5" borderId="0" xfId="1" applyNumberFormat="1" applyFont="1" applyFill="1" applyAlignment="1">
      <alignment horizontal="center" vertical="center"/>
    </xf>
    <xf numFmtId="0" fontId="12" fillId="0" borderId="18" xfId="0" applyFont="1" applyBorder="1"/>
    <xf numFmtId="0" fontId="8" fillId="0" borderId="0" xfId="0" applyFont="1" applyBorder="1"/>
    <xf numFmtId="44" fontId="4" fillId="8" borderId="0" xfId="1" applyFont="1" applyFill="1" applyAlignment="1">
      <alignment horizontal="center" vertical="center"/>
    </xf>
    <xf numFmtId="165" fontId="4" fillId="14" borderId="0" xfId="1" applyNumberFormat="1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1" fontId="4" fillId="14" borderId="0" xfId="1" applyNumberFormat="1" applyFont="1" applyFill="1" applyAlignment="1">
      <alignment horizontal="center" vertical="center"/>
    </xf>
    <xf numFmtId="44" fontId="4" fillId="14" borderId="0" xfId="1" applyFont="1" applyFill="1" applyAlignment="1">
      <alignment horizontal="center" vertical="center"/>
    </xf>
    <xf numFmtId="9" fontId="4" fillId="14" borderId="0" xfId="1" applyNumberFormat="1" applyFont="1" applyFill="1" applyAlignment="1">
      <alignment horizontal="center" vertical="center"/>
    </xf>
    <xf numFmtId="0" fontId="12" fillId="0" borderId="20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2" fontId="8" fillId="0" borderId="0" xfId="0" applyNumberFormat="1" applyFont="1" applyBorder="1"/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9" fontId="12" fillId="0" borderId="0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77" fontId="4" fillId="8" borderId="4" xfId="6" applyNumberFormat="1" applyFont="1" applyFill="1" applyBorder="1" applyAlignment="1">
      <alignment horizontal="center" vertical="center"/>
    </xf>
    <xf numFmtId="177" fontId="8" fillId="0" borderId="4" xfId="6" applyNumberFormat="1" applyFont="1" applyBorder="1"/>
    <xf numFmtId="0" fontId="8" fillId="0" borderId="0" xfId="0" applyFont="1"/>
    <xf numFmtId="0" fontId="5" fillId="0" borderId="0" xfId="3"/>
    <xf numFmtId="0" fontId="18" fillId="11" borderId="0" xfId="0" applyFont="1" applyFill="1"/>
    <xf numFmtId="0" fontId="18" fillId="11" borderId="7" xfId="0" applyFont="1" applyFill="1" applyBorder="1"/>
    <xf numFmtId="0" fontId="16" fillId="11" borderId="0" xfId="0" applyFont="1" applyFill="1"/>
    <xf numFmtId="0" fontId="20" fillId="0" borderId="0" xfId="0" applyFont="1"/>
    <xf numFmtId="0" fontId="21" fillId="0" borderId="0" xfId="0" applyFont="1"/>
    <xf numFmtId="166" fontId="0" fillId="19" borderId="14" xfId="2" applyNumberFormat="1" applyFont="1" applyFill="1" applyBorder="1"/>
    <xf numFmtId="0" fontId="17" fillId="0" borderId="0" xfId="0" applyFont="1"/>
    <xf numFmtId="1" fontId="0" fillId="20" borderId="0" xfId="0" applyNumberFormat="1" applyFill="1"/>
    <xf numFmtId="3" fontId="0" fillId="0" borderId="0" xfId="0" applyNumberFormat="1"/>
    <xf numFmtId="1" fontId="16" fillId="3" borderId="0" xfId="0" applyNumberFormat="1" applyFont="1" applyFill="1"/>
    <xf numFmtId="0" fontId="16" fillId="3" borderId="0" xfId="0" applyFont="1" applyFill="1"/>
    <xf numFmtId="166" fontId="24" fillId="0" borderId="0" xfId="2" applyNumberFormat="1" applyFont="1"/>
    <xf numFmtId="42" fontId="0" fillId="21" borderId="5" xfId="6" applyFont="1" applyFill="1" applyBorder="1"/>
    <xf numFmtId="42" fontId="0" fillId="21" borderId="1" xfId="6" applyFont="1" applyFill="1" applyBorder="1"/>
    <xf numFmtId="42" fontId="0" fillId="21" borderId="6" xfId="6" applyFont="1" applyFill="1" applyBorder="1"/>
    <xf numFmtId="42" fontId="0" fillId="21" borderId="15" xfId="6" applyFont="1" applyFill="1" applyBorder="1"/>
    <xf numFmtId="42" fontId="0" fillId="21" borderId="7" xfId="6" applyFont="1" applyFill="1" applyBorder="1"/>
    <xf numFmtId="42" fontId="0" fillId="21" borderId="0" xfId="6" applyFont="1" applyFill="1" applyBorder="1"/>
    <xf numFmtId="42" fontId="0" fillId="21" borderId="8" xfId="6" applyFont="1" applyFill="1" applyBorder="1"/>
    <xf numFmtId="42" fontId="0" fillId="21" borderId="22" xfId="6" applyFont="1" applyFill="1" applyBorder="1"/>
    <xf numFmtId="42" fontId="0" fillId="21" borderId="9" xfId="6" applyFont="1" applyFill="1" applyBorder="1"/>
    <xf numFmtId="42" fontId="0" fillId="21" borderId="2" xfId="6" applyFont="1" applyFill="1" applyBorder="1"/>
    <xf numFmtId="42" fontId="0" fillId="21" borderId="10" xfId="6" applyFont="1" applyFill="1" applyBorder="1"/>
    <xf numFmtId="42" fontId="0" fillId="21" borderId="16" xfId="6" applyFont="1" applyFill="1" applyBorder="1"/>
    <xf numFmtId="6" fontId="0" fillId="21" borderId="2" xfId="6" applyNumberFormat="1" applyFont="1" applyFill="1" applyBorder="1"/>
    <xf numFmtId="42" fontId="18" fillId="3" borderId="0" xfId="6" applyFont="1" applyFill="1" applyBorder="1"/>
    <xf numFmtId="42" fontId="18" fillId="3" borderId="0" xfId="6" applyFont="1" applyFill="1"/>
    <xf numFmtId="0" fontId="24" fillId="0" borderId="0" xfId="2" applyNumberFormat="1" applyFont="1"/>
    <xf numFmtId="1" fontId="25" fillId="0" borderId="0" xfId="0" applyNumberFormat="1" applyFont="1"/>
    <xf numFmtId="2" fontId="0" fillId="19" borderId="0" xfId="0" applyNumberFormat="1" applyFill="1"/>
    <xf numFmtId="166" fontId="26" fillId="0" borderId="0" xfId="2" applyNumberFormat="1" applyFont="1"/>
    <xf numFmtId="42" fontId="0" fillId="10" borderId="5" xfId="6" applyFont="1" applyFill="1" applyBorder="1"/>
    <xf numFmtId="42" fontId="0" fillId="10" borderId="1" xfId="6" applyFont="1" applyFill="1" applyBorder="1"/>
    <xf numFmtId="42" fontId="0" fillId="10" borderId="6" xfId="6" applyFont="1" applyFill="1" applyBorder="1"/>
    <xf numFmtId="42" fontId="0" fillId="10" borderId="15" xfId="6" applyFont="1" applyFill="1" applyBorder="1"/>
    <xf numFmtId="42" fontId="0" fillId="10" borderId="7" xfId="6" applyFont="1" applyFill="1" applyBorder="1"/>
    <xf numFmtId="42" fontId="0" fillId="10" borderId="0" xfId="6" applyFont="1" applyFill="1" applyBorder="1"/>
    <xf numFmtId="42" fontId="0" fillId="10" borderId="8" xfId="6" applyFont="1" applyFill="1" applyBorder="1"/>
    <xf numFmtId="42" fontId="0" fillId="10" borderId="22" xfId="6" applyFont="1" applyFill="1" applyBorder="1"/>
    <xf numFmtId="42" fontId="0" fillId="10" borderId="9" xfId="6" applyFont="1" applyFill="1" applyBorder="1"/>
    <xf numFmtId="42" fontId="0" fillId="10" borderId="2" xfId="6" applyFont="1" applyFill="1" applyBorder="1"/>
    <xf numFmtId="42" fontId="0" fillId="10" borderId="10" xfId="6" applyFont="1" applyFill="1" applyBorder="1"/>
    <xf numFmtId="42" fontId="0" fillId="10" borderId="16" xfId="6" applyFont="1" applyFill="1" applyBorder="1"/>
    <xf numFmtId="42" fontId="18" fillId="22" borderId="0" xfId="6" applyFont="1" applyFill="1" applyBorder="1"/>
    <xf numFmtId="42" fontId="18" fillId="22" borderId="0" xfId="6" applyFont="1" applyFill="1"/>
    <xf numFmtId="178" fontId="0" fillId="21" borderId="9" xfId="6" applyNumberFormat="1" applyFont="1" applyFill="1" applyBorder="1"/>
    <xf numFmtId="178" fontId="0" fillId="21" borderId="2" xfId="6" applyNumberFormat="1" applyFont="1" applyFill="1" applyBorder="1"/>
    <xf numFmtId="0" fontId="2" fillId="0" borderId="0" xfId="0" applyFont="1"/>
    <xf numFmtId="0" fontId="2" fillId="0" borderId="20" xfId="0" applyFont="1" applyBorder="1"/>
    <xf numFmtId="0" fontId="2" fillId="0" borderId="0" xfId="0" applyFont="1" applyBorder="1"/>
    <xf numFmtId="0" fontId="2" fillId="0" borderId="21" xfId="0" applyFont="1" applyBorder="1"/>
    <xf numFmtId="0" fontId="2" fillId="8" borderId="20" xfId="0" applyFont="1" applyFill="1" applyBorder="1"/>
    <xf numFmtId="0" fontId="2" fillId="24" borderId="20" xfId="0" applyFont="1" applyFill="1" applyBorder="1"/>
    <xf numFmtId="0" fontId="2" fillId="0" borderId="4" xfId="0" applyFont="1" applyBorder="1"/>
    <xf numFmtId="0" fontId="2" fillId="0" borderId="19" xfId="0" applyFont="1" applyBorder="1"/>
    <xf numFmtId="0" fontId="2" fillId="25" borderId="20" xfId="0" applyFont="1" applyFill="1" applyBorder="1"/>
    <xf numFmtId="0" fontId="2" fillId="0" borderId="18" xfId="0" applyFont="1" applyBorder="1"/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6" fillId="13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5" fillId="11" borderId="1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11" borderId="0" xfId="0" applyFont="1" applyFill="1" applyAlignment="1">
      <alignment horizontal="center"/>
    </xf>
    <xf numFmtId="0" fontId="22" fillId="0" borderId="14" xfId="0" applyFont="1" applyBorder="1" applyAlignment="1">
      <alignment horizontal="center"/>
    </xf>
    <xf numFmtId="0" fontId="16" fillId="23" borderId="0" xfId="0" applyFont="1" applyFill="1" applyAlignment="1">
      <alignment horizontal="center"/>
    </xf>
    <xf numFmtId="0" fontId="23" fillId="0" borderId="2" xfId="0" applyFont="1" applyBorder="1" applyAlignment="1">
      <alignment horizontal="center"/>
    </xf>
  </cellXfs>
  <cellStyles count="7">
    <cellStyle name="Hipervínculo" xfId="3" builtinId="8"/>
    <cellStyle name="Millares" xfId="4" builtinId="3"/>
    <cellStyle name="Millares [0]" xfId="5" builtinId="6"/>
    <cellStyle name="Moneda" xfId="1" builtinId="4"/>
    <cellStyle name="Moneda [0]" xfId="6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4DE86"/>
      <color rgb="FFFF5B5B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CTP!$B$4</c:f>
              <c:strCache>
                <c:ptCount val="1"/>
                <c:pt idx="0">
                  <c:v>CAPEX bicicleta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CTP!$C$4</c:f>
              <c:numCache>
                <c:formatCode>"$"#,##0</c:formatCode>
                <c:ptCount val="1"/>
                <c:pt idx="0">
                  <c:v>1300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CTP!$C$5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CTP!$B$6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CTP!$C$6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F-404E-8786-59ABDA577404}"/>
            </c:ext>
          </c:extLst>
        </c:ser>
        <c:ser>
          <c:idx val="5"/>
          <c:order val="3"/>
          <c:tx>
            <c:strRef>
              <c:f>CTP!$B$7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CTP!$C$7</c:f>
              <c:numCache>
                <c:formatCode>"$"#,##0</c:formatCode>
                <c:ptCount val="1"/>
                <c:pt idx="0">
                  <c:v>65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3"/>
          <c:order val="5"/>
          <c:tx>
            <c:strRef>
              <c:f>CTP!$B$9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CTP!$C$9</c:f>
              <c:numCache>
                <c:formatCode>"$"#,##0</c:formatCode>
                <c:ptCount val="1"/>
                <c:pt idx="0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B-4EA7-AC41-1CB2A56CC6F0}"/>
            </c:ext>
          </c:extLst>
        </c:ser>
        <c:ser>
          <c:idx val="7"/>
          <c:order val="8"/>
          <c:tx>
            <c:strRef>
              <c:f>CTP!$B$12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CTP!$C$12</c:f>
              <c:numCache>
                <c:formatCode>"$"#,##0</c:formatCode>
                <c:ptCount val="1"/>
                <c:pt idx="0">
                  <c:v>196.82572502319772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9"/>
          <c:tx>
            <c:strRef>
              <c:f>CTP!$B$13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CTP!$C$13</c:f>
              <c:numCache>
                <c:formatCode>"$"#,##0</c:formatCode>
                <c:ptCount val="1"/>
                <c:pt idx="0">
                  <c:v>240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10"/>
          <c:tx>
            <c:strRef>
              <c:f>CTP!$B$14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CTP!$C$14</c:f>
              <c:numCache>
                <c:formatCode>"$"#,##0</c:formatCode>
                <c:ptCount val="1"/>
                <c:pt idx="0">
                  <c:v>37.127520000000004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1"/>
          <c:tx>
            <c:strRef>
              <c:f>CTP!$B$17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CTP!$C$17</c:f>
              <c:numCache>
                <c:formatCode>"$"#,##0.0</c:formatCode>
                <c:ptCount val="1"/>
                <c:pt idx="0">
                  <c:v>0.52992000000000006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(CTP!#REF!,CTP!$C$2)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  <c:extLst>
          <c:ext xmlns:c15="http://schemas.microsoft.com/office/drawing/2012/chart" uri="{02D57815-91ED-43cb-92C2-25804820EDAC}">
            <c15:filteredBarSeries>
              <c15:ser>
                <c:idx val="6"/>
                <c:order val="4"/>
                <c:tx>
                  <c:strRef>
                    <c:extLst>
                      <c:ext uri="{02D57815-91ED-43cb-92C2-25804820EDAC}">
                        <c15:formulaRef>
                          <c15:sqref>CTP!$B$8</c15:sqref>
                        </c15:formulaRef>
                      </c:ext>
                    </c:extLst>
                    <c:strCache>
                      <c:ptCount val="1"/>
                      <c:pt idx="0">
                        <c:v>TGA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CTP!$C$8</c15:sqref>
                        </c15:formulaRef>
                      </c:ext>
                    </c:extLst>
                    <c:numCache>
                      <c:formatCode>"$"#,##0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(CTP!#REF!,CTP!$C$2)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7-D058-4AAD-9704-82523203AEB0}"/>
                  </c:ext>
                </c:extLst>
              </c15:ser>
            </c15:filteredBarSeries>
            <c15:filteredBa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CTP!$B$10</c15:sqref>
                        </c15:formulaRef>
                      </c:ext>
                    </c:extLst>
                    <c:strCache>
                      <c:ptCount val="1"/>
                      <c:pt idx="0">
                        <c:v>IMESI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CTP!$C$10</c15:sqref>
                        </c15:formulaRef>
                      </c:ext>
                    </c:extLst>
                    <c:numCache>
                      <c:formatCode>"$"#,##0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EB-4EA7-AC41-1CB2A56CC6F0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CTP!$B$11</c15:sqref>
                        </c15:formulaRef>
                      </c:ext>
                    </c:extLst>
                    <c:strCache>
                      <c:ptCount val="1"/>
                      <c:pt idx="0">
                        <c:v>Patente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CTP!$C$11</c15:sqref>
                        </c15:formulaRef>
                      </c:ext>
                    </c:extLst>
                    <c:numCache>
                      <c:formatCode>"$"#,##0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EB-4EA7-AC41-1CB2A56CC6F0}"/>
                  </c:ext>
                </c:extLst>
              </c15:ser>
            </c15:filteredBarSeries>
          </c:ext>
        </c:extLst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CTP!$B$33</c:f>
              <c:strCache>
                <c:ptCount val="1"/>
                <c:pt idx="0">
                  <c:v>CAPEX bicicleta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CTP!$C$33</c:f>
              <c:numCache>
                <c:formatCode>"$"#,##0.00</c:formatCode>
                <c:ptCount val="1"/>
                <c:pt idx="0">
                  <c:v>2.7083333333333334E-2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CTP!$B$34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CTP!$C$34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CTP!$B$6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CTP!$C$35</c:f>
              <c:numCache>
                <c:formatCode>"$"#,##0.00</c:formatCode>
                <c:ptCount val="1"/>
                <c:pt idx="0">
                  <c:v>6.2500000000000003E-3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A-4431-8426-3B41A0007A92}"/>
            </c:ext>
          </c:extLst>
        </c:ser>
        <c:ser>
          <c:idx val="5"/>
          <c:order val="3"/>
          <c:tx>
            <c:strRef>
              <c:f>CTP!$B$36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CTP!$C$36</c:f>
              <c:numCache>
                <c:formatCode>"$"#,##0.00</c:formatCode>
                <c:ptCount val="1"/>
                <c:pt idx="0">
                  <c:v>1.3541666666666667E-3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3"/>
          <c:order val="5"/>
          <c:tx>
            <c:strRef>
              <c:f>CTP!$B$38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CTP!$C$38</c:f>
              <c:numCache>
                <c:formatCode>"$"#,##0.00</c:formatCode>
                <c:ptCount val="1"/>
                <c:pt idx="0">
                  <c:v>5.9583333333333337E-3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3-4163-8FB9-3BF0E55B00B3}"/>
            </c:ext>
          </c:extLst>
        </c:ser>
        <c:ser>
          <c:idx val="7"/>
          <c:order val="8"/>
          <c:tx>
            <c:strRef>
              <c:f>CTP!$B$41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CTP!$C$41</c:f>
              <c:numCache>
                <c:formatCode>"$"#,##0.00</c:formatCode>
                <c:ptCount val="1"/>
                <c:pt idx="0">
                  <c:v>4.1005359379832854E-3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9"/>
          <c:tx>
            <c:strRef>
              <c:f>CTP!$B$42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CTP!$C$42</c:f>
              <c:numCache>
                <c:formatCode>"$"#,##0.00</c:formatCode>
                <c:ptCount val="1"/>
                <c:pt idx="0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10"/>
          <c:tx>
            <c:strRef>
              <c:f>CTP!$B$43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CTP!$C$43</c:f>
              <c:numCache>
                <c:formatCode>"$"#,##0.00</c:formatCode>
                <c:ptCount val="1"/>
                <c:pt idx="0">
                  <c:v>7.7349000000000005E-4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1"/>
          <c:tx>
            <c:strRef>
              <c:f>CTP!$B$44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CTP!$C$31:$C$31</c:f>
              <c:strCache>
                <c:ptCount val="1"/>
                <c:pt idx="0">
                  <c:v>Eléctrica</c:v>
                </c:pt>
              </c:strCache>
            </c:strRef>
          </c:cat>
          <c:val>
            <c:numRef>
              <c:f>CTP!$C$44</c:f>
              <c:numCache>
                <c:formatCode>"$"#,##0.00</c:formatCode>
                <c:ptCount val="1"/>
                <c:pt idx="0">
                  <c:v>1.1040000000000001E-5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  <c:extLst>
          <c:ext xmlns:c15="http://schemas.microsoft.com/office/drawing/2012/chart" uri="{02D57815-91ED-43cb-92C2-25804820EDAC}">
            <c15:filteredBarSeries>
              <c15:ser>
                <c:idx val="6"/>
                <c:order val="4"/>
                <c:tx>
                  <c:strRef>
                    <c:extLst>
                      <c:ext uri="{02D57815-91ED-43cb-92C2-25804820EDAC}">
                        <c15:formulaRef>
                          <c15:sqref>CTP!$B$37</c15:sqref>
                        </c15:formulaRef>
                      </c:ext>
                    </c:extLst>
                    <c:strCache>
                      <c:ptCount val="1"/>
                      <c:pt idx="0">
                        <c:v>TGA</c:v>
                      </c:pt>
                    </c:strCache>
                  </c:strRef>
                </c:tx>
                <c:spPr>
                  <a:solidFill>
                    <a:schemeClr val="accent6">
                      <a:lumMod val="20000"/>
                      <a:lumOff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CTP!$C$31:$C$31</c15:sqref>
                        </c15:formulaRef>
                      </c:ext>
                    </c:extLst>
                    <c:strCache>
                      <c:ptCount val="1"/>
                      <c:pt idx="0">
                        <c:v>Eléctrica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CTP!$C$37</c15:sqref>
                        </c15:formulaRef>
                      </c:ext>
                    </c:extLst>
                    <c:numCache>
                      <c:formatCode>"$"#,##0.00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058-4AAD-9704-82523203AEB0}"/>
                  </c:ext>
                </c:extLst>
              </c15:ser>
            </c15:filteredBarSeries>
            <c15:filteredBa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CTP!$B$39</c15:sqref>
                        </c15:formulaRef>
                      </c:ext>
                    </c:extLst>
                    <c:strCache>
                      <c:ptCount val="1"/>
                      <c:pt idx="0">
                        <c:v>IMESI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CTP!$C$39</c15:sqref>
                        </c15:formulaRef>
                      </c:ext>
                    </c:extLst>
                    <c:numCache>
                      <c:formatCode>"$"#,##0.00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943-4163-8FB9-3BF0E55B00B3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CTP!$B$40</c15:sqref>
                        </c15:formulaRef>
                      </c:ext>
                    </c:extLst>
                    <c:strCache>
                      <c:ptCount val="1"/>
                      <c:pt idx="0">
                        <c:v>Patente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CTP!$C$40</c15:sqref>
                        </c15:formulaRef>
                      </c:ext>
                    </c:extLst>
                    <c:numCache>
                      <c:formatCode>"$"#,##0.00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943-4163-8FB9-3BF0E55B00B3}"/>
                  </c:ext>
                </c:extLst>
              </c15:ser>
            </c15:filteredBarSeries>
          </c:ext>
        </c:extLst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5784586815227483"/>
          <c:w val="0.75662429165546652"/>
          <c:h val="0.65339233361846483"/>
        </c:manualLayout>
      </c:layout>
      <c:scatterChart>
        <c:scatterStyle val="lineMarker"/>
        <c:varyColors val="0"/>
        <c:ser>
          <c:idx val="1"/>
          <c:order val="0"/>
          <c:tx>
            <c:strRef>
              <c:f>CTP!$C$129</c:f>
              <c:strCache>
                <c:ptCount val="1"/>
                <c:pt idx="0">
                  <c:v>Eléctrica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CTP!$B$130:$B$132</c:f>
              <c:numCache>
                <c:formatCode>0</c:formatCode>
                <c:ptCount val="3"/>
                <c:pt idx="0">
                  <c:v>3000</c:v>
                </c:pt>
                <c:pt idx="1">
                  <c:v>6000</c:v>
                </c:pt>
                <c:pt idx="2">
                  <c:v>10000</c:v>
                </c:pt>
              </c:numCache>
            </c:numRef>
          </c:xVal>
          <c:yVal>
            <c:numRef>
              <c:f>CTP!$C$130:$C$132</c:f>
              <c:numCache>
                <c:formatCode>"$"#,##0.000</c:formatCode>
                <c:ptCount val="3"/>
                <c:pt idx="0">
                  <c:v>9.5277268542633242E-2</c:v>
                </c:pt>
                <c:pt idx="1">
                  <c:v>5.0530899271316612E-2</c:v>
                </c:pt>
                <c:pt idx="2">
                  <c:v>3.2632351562789971E-2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/>
      </c:scatterChart>
      <c:valAx>
        <c:axId val="217246095"/>
        <c:scaling>
          <c:orientation val="minMax"/>
          <c:max val="10000"/>
          <c:min val="3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412114</xdr:colOff>
      <xdr:row>44</xdr:row>
      <xdr:rowOff>160020</xdr:rowOff>
    </xdr:from>
    <xdr:to>
      <xdr:col>3</xdr:col>
      <xdr:colOff>904874</xdr:colOff>
      <xdr:row>64</xdr:row>
      <xdr:rowOff>149225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65</xdr:row>
      <xdr:rowOff>73660</xdr:rowOff>
    </xdr:from>
    <xdr:to>
      <xdr:col>4</xdr:col>
      <xdr:colOff>65405</xdr:colOff>
      <xdr:row>85</xdr:row>
      <xdr:rowOff>83185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</xdr:colOff>
      <xdr:row>134</xdr:row>
      <xdr:rowOff>78105</xdr:rowOff>
    </xdr:from>
    <xdr:to>
      <xdr:col>5</xdr:col>
      <xdr:colOff>416560</xdr:colOff>
      <xdr:row>150</xdr:row>
      <xdr:rowOff>161925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0.18806</cdr:x>
      <cdr:y>0.00836</cdr:y>
    </cdr:from>
    <cdr:to>
      <cdr:x>0.60783</cdr:x>
      <cdr:y>0.12595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936353" y="28569"/>
          <a:ext cx="2090049" cy="401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2,355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USD - </a:t>
          </a:r>
          <a:r>
            <a:rPr lang="es-CO" sz="1100" b="1" baseline="0">
              <a:solidFill>
                <a:srgbClr val="00B0F0"/>
              </a:solidFill>
              <a:latin typeface="Century Gothic" panose="020B0502020202020204" pitchFamily="34" charset="0"/>
            </a:rPr>
            <a:t>0.05 USD/km</a:t>
          </a:r>
          <a:endParaRPr lang="es-CO" sz="1100" b="1">
            <a:solidFill>
              <a:srgbClr val="00B0F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0.26682</cdr:x>
      <cdr:y>0.11444</cdr:y>
    </cdr:from>
    <cdr:to>
      <cdr:x>0.50262</cdr:x>
      <cdr:y>0.19985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1341530" y="393501"/>
          <a:ext cx="1185586" cy="293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0.05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40</xdr:row>
      <xdr:rowOff>0</xdr:rowOff>
    </xdr:from>
    <xdr:to>
      <xdr:col>10</xdr:col>
      <xdr:colOff>542925</xdr:colOff>
      <xdr:row>41</xdr:row>
      <xdr:rowOff>127050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53106B-D786-4D69-A0FF-E54D66BB0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17550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F9653EE9-ECA0-4FBA-899D-54CCF54ED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40</xdr:row>
      <xdr:rowOff>0</xdr:rowOff>
    </xdr:from>
    <xdr:ext cx="0" cy="346125"/>
    <xdr:pic>
      <xdr:nvPicPr>
        <xdr:cNvPr id="4" name="Imagen 3">
          <a:extLst>
            <a:ext uri="{FF2B5EF4-FFF2-40B4-BE49-F238E27FC236}">
              <a16:creationId xmlns:a16="http://schemas.microsoft.com/office/drawing/2014/main" id="{80F82DB9-7CD3-402B-8082-DEB1D9C78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40</xdr:row>
      <xdr:rowOff>0</xdr:rowOff>
    </xdr:from>
    <xdr:ext cx="0" cy="346125"/>
    <xdr:pic>
      <xdr:nvPicPr>
        <xdr:cNvPr id="5" name="Imagen 4">
          <a:extLst>
            <a:ext uri="{FF2B5EF4-FFF2-40B4-BE49-F238E27FC236}">
              <a16:creationId xmlns:a16="http://schemas.microsoft.com/office/drawing/2014/main" id="{FE90CF96-9F98-4B9A-9B69-846B06990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461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bikeshq.com/electric-bike-battery-cost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bbva.com/es/sostenibilidad/cuanto-dura-la-bateria-de-una-bicicleta-electrica-y-como-se-puede-alargar-su-vida-util/" TargetMode="External"/><Relationship Id="rId7" Type="http://schemas.openxmlformats.org/officeDocument/2006/relationships/hyperlink" Target="https://enveurope.springeropen.com/articles/10.1186/s12302-020-00307-8" TargetMode="External"/><Relationship Id="rId12" Type="http://schemas.openxmlformats.org/officeDocument/2006/relationships/hyperlink" Target="https://www.bcu.gub.uy/Servicios-Financieros-SSF/Paginas/Tasas-Medias.aspx" TargetMode="External"/><Relationship Id="rId2" Type="http://schemas.openxmlformats.org/officeDocument/2006/relationships/hyperlink" Target="https://bicyclevolt.com/electric-bike-maintenance-cost/" TargetMode="Externa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heele.com.uy/index.php/productos/bicicletas-el%C3%A9ctricas/bicicleta-el%C3%A9ctrica-extra-cargo-24-34-detail" TargetMode="External"/><Relationship Id="rId11" Type="http://schemas.openxmlformats.org/officeDocument/2006/relationships/hyperlink" Target="https://www.ute.com.uy/sites/default/files/docs/Pliego%20Tarifario%20Vigente%20desde%201%20de%20Enero%20de%202022.pdf" TargetMode="External"/><Relationship Id="rId5" Type="http://schemas.openxmlformats.org/officeDocument/2006/relationships/hyperlink" Target="https://listado.mercadolibre.com.uy/cargador-para-moto-electrica-veems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energy.gov/sites/prod/files/2017/02/f34/67089%20EERE%20LIB%20cost%20vs%20price%20metrics%20r9.pdf" TargetMode="External"/><Relationship Id="rId4" Type="http://schemas.openxmlformats.org/officeDocument/2006/relationships/hyperlink" Target="https://wheele.com.uy/index.php/productos/bicicletas-el%C3%A9ctricas/bicicleta-el%C3%A9ctrica-extra-cargo-24-34-detail" TargetMode="External"/><Relationship Id="rId9" Type="http://schemas.openxmlformats.org/officeDocument/2006/relationships/hyperlink" Target="https://www.energy.gov/sites/prod/files/2017/02/f34/67089%20EERE%20LIB%20cost%20vs%20price%20metrics%20r9.pdf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C89D-EBCC-4B05-A0B4-2C8E22150DA9}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5" width="11.85546875" style="197" customWidth="1"/>
    <col min="16" max="16384" width="11.42578125" style="197"/>
  </cols>
  <sheetData>
    <row r="1" spans="1:15" ht="17.25" thickBot="1" x14ac:dyDescent="0.35">
      <c r="A1" s="207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1:15" x14ac:dyDescent="0.3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15" x14ac:dyDescent="0.3">
      <c r="A3" s="198" t="s">
        <v>157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</row>
    <row r="4" spans="1:15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00"/>
    </row>
    <row r="5" spans="1:15" x14ac:dyDescent="0.3">
      <c r="A5" s="201"/>
      <c r="B5" s="199" t="s">
        <v>154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</row>
    <row r="6" spans="1:15" x14ac:dyDescent="0.3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200"/>
    </row>
    <row r="7" spans="1:15" x14ac:dyDescent="0.3">
      <c r="A7" s="202"/>
      <c r="B7" s="199" t="s">
        <v>155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1:15" x14ac:dyDescent="0.3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</row>
    <row r="9" spans="1:15" x14ac:dyDescent="0.3">
      <c r="A9" s="205"/>
      <c r="B9" s="199" t="s">
        <v>156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</row>
    <row r="10" spans="1:15" x14ac:dyDescent="0.3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0"/>
    </row>
    <row r="11" spans="1:15" x14ac:dyDescent="0.3">
      <c r="A11" s="198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</row>
    <row r="12" spans="1:15" x14ac:dyDescent="0.3">
      <c r="A12" s="198" t="s">
        <v>158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200"/>
    </row>
    <row r="13" spans="1:15" x14ac:dyDescent="0.3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</row>
    <row r="14" spans="1:15" ht="17.25" thickBot="1" x14ac:dyDescent="0.35">
      <c r="A14" s="206" t="s">
        <v>159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</row>
  </sheetData>
  <mergeCells count="1">
    <mergeCell ref="A1:O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M103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33.85546875" style="85" customWidth="1"/>
    <col min="2" max="3" width="18.140625" style="85" customWidth="1"/>
    <col min="4" max="4" width="25.85546875" style="85" customWidth="1"/>
    <col min="5" max="5" width="18.140625" style="85" customWidth="1"/>
    <col min="6" max="8" width="25.5703125" style="85" customWidth="1"/>
    <col min="9" max="9" width="14.140625" style="85" customWidth="1"/>
    <col min="10" max="10" width="12.85546875" style="85" bestFit="1" customWidth="1"/>
    <col min="11" max="11" width="11.7109375" style="85" customWidth="1"/>
    <col min="12" max="12" width="13.85546875" style="85" customWidth="1"/>
    <col min="13" max="13" width="13.28515625" style="85" customWidth="1"/>
    <col min="14" max="16384" width="10.85546875" style="85"/>
  </cols>
  <sheetData>
    <row r="1" spans="1:10" s="83" customFormat="1" x14ac:dyDescent="0.25">
      <c r="A1" s="212" t="s">
        <v>114</v>
      </c>
      <c r="B1" s="212"/>
      <c r="C1" s="212"/>
      <c r="D1" s="212"/>
      <c r="E1" s="212"/>
      <c r="F1" s="212"/>
    </row>
    <row r="2" spans="1:10" s="83" customFormat="1" x14ac:dyDescent="0.25">
      <c r="C2" s="3"/>
      <c r="D2" s="3"/>
      <c r="E2" s="3"/>
    </row>
    <row r="3" spans="1:10" s="83" customFormat="1" x14ac:dyDescent="0.25">
      <c r="C3" s="3"/>
      <c r="D3" s="3"/>
      <c r="E3" s="3"/>
      <c r="J3" s="85"/>
    </row>
    <row r="4" spans="1:10" s="83" customFormat="1" ht="15" x14ac:dyDescent="0.25">
      <c r="A4" s="211" t="s">
        <v>68</v>
      </c>
      <c r="B4" s="211"/>
      <c r="C4" s="211"/>
      <c r="D4" s="211"/>
      <c r="E4" s="211"/>
      <c r="F4" s="211"/>
      <c r="G4" s="67"/>
      <c r="J4" s="85"/>
    </row>
    <row r="5" spans="1:10" s="83" customFormat="1" x14ac:dyDescent="0.25">
      <c r="A5" s="84" t="s">
        <v>123</v>
      </c>
      <c r="C5" s="3"/>
      <c r="D5" s="3"/>
      <c r="J5" s="85"/>
    </row>
    <row r="6" spans="1:10" s="83" customFormat="1" ht="14.25" x14ac:dyDescent="0.25">
      <c r="A6" s="4" t="s">
        <v>35</v>
      </c>
      <c r="B6" s="4" t="s">
        <v>36</v>
      </c>
      <c r="C6" s="4" t="s">
        <v>37</v>
      </c>
      <c r="D6" s="4" t="s">
        <v>38</v>
      </c>
      <c r="F6" s="97" t="s">
        <v>35</v>
      </c>
      <c r="G6" s="97" t="s">
        <v>36</v>
      </c>
      <c r="H6" s="97" t="s">
        <v>37</v>
      </c>
      <c r="J6" s="85"/>
    </row>
    <row r="7" spans="1:10" s="83" customFormat="1" ht="32.450000000000003" customHeight="1" x14ac:dyDescent="0.25">
      <c r="A7" s="5" t="s">
        <v>0</v>
      </c>
      <c r="B7" s="5" t="s">
        <v>1</v>
      </c>
      <c r="C7" s="129">
        <v>1300</v>
      </c>
      <c r="D7" s="82" t="s">
        <v>116</v>
      </c>
      <c r="E7" s="94" t="s">
        <v>115</v>
      </c>
      <c r="F7" s="98" t="s">
        <v>126</v>
      </c>
      <c r="G7" s="98" t="s">
        <v>1</v>
      </c>
      <c r="H7" s="99">
        <f>C7</f>
        <v>1300</v>
      </c>
      <c r="J7" s="85"/>
    </row>
    <row r="8" spans="1:10" s="83" customFormat="1" ht="32.450000000000003" customHeight="1" x14ac:dyDescent="0.25">
      <c r="A8" s="5" t="s">
        <v>33</v>
      </c>
      <c r="B8" s="5" t="s">
        <v>20</v>
      </c>
      <c r="C8" s="130">
        <f>48*10/1000</f>
        <v>0.48</v>
      </c>
      <c r="D8" s="75" t="s">
        <v>115</v>
      </c>
      <c r="F8" s="98" t="s">
        <v>104</v>
      </c>
      <c r="G8" s="98" t="s">
        <v>1</v>
      </c>
      <c r="H8" s="100">
        <f>C17</f>
        <v>0</v>
      </c>
      <c r="J8" s="85"/>
    </row>
    <row r="9" spans="1:10" s="83" customFormat="1" ht="32.450000000000003" customHeight="1" x14ac:dyDescent="0.25">
      <c r="A9" s="5" t="s">
        <v>124</v>
      </c>
      <c r="B9" s="5" t="s">
        <v>32</v>
      </c>
      <c r="C9" s="131">
        <v>8</v>
      </c>
      <c r="D9" s="82" t="s">
        <v>119</v>
      </c>
      <c r="F9" s="98" t="s">
        <v>130</v>
      </c>
      <c r="G9" s="98" t="s">
        <v>32</v>
      </c>
      <c r="H9" s="101">
        <f>C9</f>
        <v>8</v>
      </c>
      <c r="J9" s="85"/>
    </row>
    <row r="10" spans="1:10" s="83" customFormat="1" ht="32.450000000000003" customHeight="1" x14ac:dyDescent="0.25">
      <c r="A10" s="5" t="s">
        <v>34</v>
      </c>
      <c r="B10" s="5" t="s">
        <v>32</v>
      </c>
      <c r="C10" s="131">
        <v>4</v>
      </c>
      <c r="D10" s="80" t="s">
        <v>118</v>
      </c>
      <c r="F10" s="98" t="s">
        <v>131</v>
      </c>
      <c r="G10" s="98" t="s">
        <v>32</v>
      </c>
      <c r="H10" s="101">
        <f>C10</f>
        <v>4</v>
      </c>
      <c r="J10" s="85"/>
    </row>
    <row r="11" spans="1:10" ht="32.450000000000003" customHeight="1" x14ac:dyDescent="0.25">
      <c r="A11" s="5" t="s">
        <v>30</v>
      </c>
      <c r="B11" s="5" t="s">
        <v>3</v>
      </c>
      <c r="C11" s="131">
        <f>1/100</f>
        <v>0.01</v>
      </c>
      <c r="D11" s="80" t="s">
        <v>97</v>
      </c>
      <c r="E11" s="83"/>
      <c r="F11" s="98" t="s">
        <v>132</v>
      </c>
      <c r="G11" s="98" t="s">
        <v>2</v>
      </c>
      <c r="H11" s="126">
        <f>C12</f>
        <v>5.0000000000000001E-3</v>
      </c>
    </row>
    <row r="12" spans="1:10" ht="32.450000000000003" customHeight="1" x14ac:dyDescent="0.25">
      <c r="A12" s="5" t="s">
        <v>31</v>
      </c>
      <c r="B12" s="5" t="s">
        <v>2</v>
      </c>
      <c r="C12" s="131">
        <f>30/6000</f>
        <v>5.0000000000000001E-3</v>
      </c>
      <c r="D12" s="80" t="s">
        <v>121</v>
      </c>
      <c r="E12" s="83" t="s">
        <v>128</v>
      </c>
      <c r="F12" s="98" t="s">
        <v>30</v>
      </c>
      <c r="G12" s="98" t="s">
        <v>3</v>
      </c>
      <c r="H12" s="125">
        <f>C11</f>
        <v>0.01</v>
      </c>
    </row>
    <row r="13" spans="1:10" ht="32.450000000000003" customHeight="1" x14ac:dyDescent="0.25">
      <c r="F13" s="98" t="s">
        <v>105</v>
      </c>
      <c r="G13" s="98" t="s">
        <v>51</v>
      </c>
      <c r="H13" s="101">
        <f>C29</f>
        <v>6000</v>
      </c>
    </row>
    <row r="14" spans="1:10" s="83" customFormat="1" ht="30" customHeight="1" x14ac:dyDescent="0.25">
      <c r="A14" s="6"/>
      <c r="B14" s="6"/>
      <c r="C14" s="63"/>
      <c r="D14" s="64"/>
      <c r="F14" s="98" t="s">
        <v>106</v>
      </c>
      <c r="G14" s="98" t="s">
        <v>52</v>
      </c>
      <c r="H14" s="101">
        <f>C31</f>
        <v>300</v>
      </c>
      <c r="I14" s="85"/>
      <c r="J14" s="85"/>
    </row>
    <row r="15" spans="1:10" s="83" customFormat="1" x14ac:dyDescent="0.25">
      <c r="A15" s="84" t="s">
        <v>99</v>
      </c>
      <c r="C15" s="3"/>
      <c r="D15" s="3"/>
      <c r="F15" s="85"/>
      <c r="G15" s="85"/>
      <c r="J15" s="85"/>
    </row>
    <row r="16" spans="1:10" s="83" customFormat="1" x14ac:dyDescent="0.25">
      <c r="A16" s="4" t="s">
        <v>35</v>
      </c>
      <c r="B16" s="4" t="s">
        <v>36</v>
      </c>
      <c r="C16" s="4" t="s">
        <v>37</v>
      </c>
      <c r="D16" s="4" t="s">
        <v>38</v>
      </c>
      <c r="F16" s="85"/>
      <c r="G16" s="85"/>
      <c r="J16" s="85"/>
    </row>
    <row r="17" spans="1:9" s="83" customFormat="1" x14ac:dyDescent="0.25">
      <c r="A17" s="5" t="s">
        <v>69</v>
      </c>
      <c r="B17" s="5" t="s">
        <v>1</v>
      </c>
      <c r="C17" s="133">
        <v>0</v>
      </c>
      <c r="D17" s="112" t="s">
        <v>120</v>
      </c>
      <c r="F17" s="85"/>
      <c r="G17" s="85"/>
    </row>
    <row r="18" spans="1:9" s="83" customFormat="1" ht="27" x14ac:dyDescent="0.25">
      <c r="A18" s="5" t="s">
        <v>70</v>
      </c>
      <c r="B18" s="5" t="s">
        <v>5</v>
      </c>
      <c r="C18" s="133">
        <f>600/C8</f>
        <v>1250</v>
      </c>
      <c r="D18" s="82" t="s">
        <v>117</v>
      </c>
      <c r="E18" s="94" t="s">
        <v>122</v>
      </c>
      <c r="F18" s="85"/>
      <c r="G18" s="85"/>
      <c r="H18" s="85"/>
    </row>
    <row r="19" spans="1:9" s="83" customFormat="1" ht="37.5" customHeight="1" x14ac:dyDescent="0.25">
      <c r="A19" s="5" t="s">
        <v>40</v>
      </c>
      <c r="B19" s="5" t="s">
        <v>93</v>
      </c>
      <c r="C19" s="132">
        <v>8</v>
      </c>
      <c r="D19" s="82" t="s">
        <v>129</v>
      </c>
      <c r="F19" s="85"/>
      <c r="G19" s="85"/>
      <c r="H19" s="85"/>
    </row>
    <row r="21" spans="1:9" s="83" customFormat="1" x14ac:dyDescent="0.25">
      <c r="A21" s="84" t="s">
        <v>63</v>
      </c>
      <c r="C21" s="3"/>
      <c r="D21" s="3"/>
    </row>
    <row r="22" spans="1:9" s="83" customFormat="1" x14ac:dyDescent="0.25">
      <c r="A22" s="4" t="s">
        <v>35</v>
      </c>
      <c r="B22" s="4" t="s">
        <v>36</v>
      </c>
      <c r="C22" s="4" t="s">
        <v>37</v>
      </c>
      <c r="D22" s="4" t="s">
        <v>38</v>
      </c>
      <c r="F22" s="85"/>
      <c r="G22" s="85"/>
    </row>
    <row r="23" spans="1:9" s="83" customFormat="1" ht="27" x14ac:dyDescent="0.25">
      <c r="A23" s="5" t="s">
        <v>41</v>
      </c>
      <c r="B23" s="5" t="s">
        <v>9</v>
      </c>
      <c r="C23" s="134">
        <v>0.5</v>
      </c>
      <c r="D23" s="82" t="s">
        <v>42</v>
      </c>
      <c r="E23" s="83" t="s">
        <v>21</v>
      </c>
      <c r="F23" s="85"/>
      <c r="G23" s="87"/>
    </row>
    <row r="24" spans="1:9" s="83" customFormat="1" ht="27" x14ac:dyDescent="0.25">
      <c r="A24" s="5" t="s">
        <v>43</v>
      </c>
      <c r="B24" s="5" t="s">
        <v>9</v>
      </c>
      <c r="C24" s="134">
        <v>0.7</v>
      </c>
      <c r="D24" s="82" t="s">
        <v>42</v>
      </c>
      <c r="E24" s="83" t="s">
        <v>21</v>
      </c>
      <c r="F24" s="85"/>
      <c r="G24" s="87"/>
    </row>
    <row r="25" spans="1:9" x14ac:dyDescent="0.25">
      <c r="C25" s="88"/>
    </row>
    <row r="26" spans="1:9" x14ac:dyDescent="0.25">
      <c r="A26" s="211" t="s">
        <v>44</v>
      </c>
      <c r="B26" s="211"/>
      <c r="C26" s="211"/>
      <c r="D26" s="211"/>
      <c r="E26" s="213" t="s">
        <v>45</v>
      </c>
      <c r="F26" s="213"/>
      <c r="G26" s="213"/>
      <c r="H26" s="213"/>
      <c r="I26" s="213"/>
    </row>
    <row r="27" spans="1:9" x14ac:dyDescent="0.25">
      <c r="H27" s="88" t="s">
        <v>95</v>
      </c>
      <c r="I27" s="88" t="s">
        <v>96</v>
      </c>
    </row>
    <row r="28" spans="1:9" x14ac:dyDescent="0.25">
      <c r="A28" s="4" t="s">
        <v>35</v>
      </c>
      <c r="B28" s="4" t="s">
        <v>36</v>
      </c>
      <c r="C28" s="4" t="s">
        <v>37</v>
      </c>
      <c r="D28" s="4" t="s">
        <v>38</v>
      </c>
      <c r="E28" s="83"/>
      <c r="F28" s="4" t="s">
        <v>35</v>
      </c>
      <c r="G28" s="4" t="s">
        <v>36</v>
      </c>
      <c r="H28" s="4" t="s">
        <v>37</v>
      </c>
    </row>
    <row r="29" spans="1:9" ht="38.25" x14ac:dyDescent="0.25">
      <c r="A29" s="5" t="s">
        <v>46</v>
      </c>
      <c r="B29" s="5" t="s">
        <v>51</v>
      </c>
      <c r="C29" s="9">
        <f>20*C31</f>
        <v>6000</v>
      </c>
      <c r="D29" s="81" t="s">
        <v>113</v>
      </c>
      <c r="E29" s="86" t="s">
        <v>112</v>
      </c>
      <c r="F29" s="5" t="s">
        <v>46</v>
      </c>
      <c r="G29" s="5" t="s">
        <v>51</v>
      </c>
      <c r="H29" s="9">
        <v>10000</v>
      </c>
      <c r="I29" s="9">
        <v>3000</v>
      </c>
    </row>
    <row r="30" spans="1:9" x14ac:dyDescent="0.25">
      <c r="A30" s="5" t="s">
        <v>47</v>
      </c>
      <c r="B30" s="5" t="s">
        <v>7</v>
      </c>
      <c r="C30" s="7">
        <f>C29*$C$9</f>
        <v>48000</v>
      </c>
      <c r="D30" s="1" t="s">
        <v>54</v>
      </c>
      <c r="E30" s="83"/>
      <c r="F30" s="5" t="s">
        <v>47</v>
      </c>
      <c r="G30" s="5" t="s">
        <v>7</v>
      </c>
      <c r="H30" s="7">
        <f>H29*C9</f>
        <v>80000</v>
      </c>
      <c r="I30" s="7">
        <f>I29*C9</f>
        <v>24000</v>
      </c>
    </row>
    <row r="31" spans="1:9" x14ac:dyDescent="0.25">
      <c r="A31" s="5" t="s">
        <v>48</v>
      </c>
      <c r="B31" s="5" t="s">
        <v>52</v>
      </c>
      <c r="C31" s="9">
        <v>300</v>
      </c>
      <c r="D31" s="1" t="s">
        <v>53</v>
      </c>
      <c r="E31" s="83"/>
      <c r="F31" s="5" t="s">
        <v>48</v>
      </c>
      <c r="G31" s="5" t="s">
        <v>8</v>
      </c>
      <c r="H31" s="9">
        <v>300</v>
      </c>
      <c r="I31" s="9">
        <v>300</v>
      </c>
    </row>
    <row r="32" spans="1:9" x14ac:dyDescent="0.25">
      <c r="A32" s="5" t="s">
        <v>49</v>
      </c>
      <c r="B32" s="5" t="s">
        <v>7</v>
      </c>
      <c r="C32" s="7">
        <f>C29/C31</f>
        <v>20</v>
      </c>
      <c r="D32" s="1" t="s">
        <v>54</v>
      </c>
      <c r="E32" s="83"/>
      <c r="F32" s="5" t="s">
        <v>49</v>
      </c>
      <c r="G32" s="5" t="s">
        <v>7</v>
      </c>
      <c r="H32" s="7">
        <f>H29/H31</f>
        <v>33.333333333333336</v>
      </c>
      <c r="I32" s="7">
        <f>I29/I31</f>
        <v>10</v>
      </c>
    </row>
    <row r="33" spans="1:9" ht="12" customHeight="1" x14ac:dyDescent="0.25">
      <c r="A33" s="5" t="s">
        <v>50</v>
      </c>
      <c r="B33" s="5" t="s">
        <v>6</v>
      </c>
      <c r="C33" s="113">
        <f>C32*$C$11</f>
        <v>0.2</v>
      </c>
      <c r="D33" s="1" t="s">
        <v>54</v>
      </c>
      <c r="F33" s="5" t="s">
        <v>50</v>
      </c>
      <c r="G33" s="5" t="s">
        <v>6</v>
      </c>
      <c r="H33" s="113">
        <f>H32*$C$11</f>
        <v>0.33333333333333337</v>
      </c>
      <c r="I33" s="113">
        <f>I32*$C$11</f>
        <v>0.1</v>
      </c>
    </row>
    <row r="34" spans="1:9" s="86" customFormat="1" ht="12" customHeight="1" x14ac:dyDescent="0.25">
      <c r="A34" s="6"/>
      <c r="B34" s="6"/>
      <c r="C34" s="8"/>
    </row>
    <row r="36" spans="1:9" x14ac:dyDescent="0.25">
      <c r="A36" s="211" t="s">
        <v>58</v>
      </c>
      <c r="B36" s="211"/>
      <c r="C36" s="211"/>
      <c r="D36" s="211"/>
      <c r="E36" s="211"/>
      <c r="F36" s="211"/>
    </row>
    <row r="37" spans="1:9" x14ac:dyDescent="0.25">
      <c r="A37" s="84"/>
    </row>
    <row r="38" spans="1:9" x14ac:dyDescent="0.25">
      <c r="A38" s="4" t="s">
        <v>35</v>
      </c>
      <c r="B38" s="4" t="s">
        <v>36</v>
      </c>
      <c r="C38" s="4" t="s">
        <v>37</v>
      </c>
      <c r="D38" s="4" t="s">
        <v>38</v>
      </c>
    </row>
    <row r="39" spans="1:9" ht="27" x14ac:dyDescent="0.25">
      <c r="A39" s="5" t="s">
        <v>55</v>
      </c>
      <c r="B39" s="5" t="s">
        <v>9</v>
      </c>
      <c r="C39" s="10">
        <v>0.7</v>
      </c>
      <c r="D39" s="82" t="s">
        <v>23</v>
      </c>
    </row>
    <row r="40" spans="1:9" x14ac:dyDescent="0.25">
      <c r="A40" s="5" t="s">
        <v>56</v>
      </c>
      <c r="B40" s="5" t="s">
        <v>32</v>
      </c>
      <c r="C40" s="77">
        <v>3</v>
      </c>
      <c r="D40" s="82" t="s">
        <v>134</v>
      </c>
    </row>
    <row r="41" spans="1:9" ht="15" x14ac:dyDescent="0.25">
      <c r="A41" s="5" t="s">
        <v>150</v>
      </c>
      <c r="B41" s="5" t="s">
        <v>71</v>
      </c>
      <c r="C41" s="69">
        <v>5.8500000000000003E-2</v>
      </c>
      <c r="D41" s="89" t="s">
        <v>27</v>
      </c>
    </row>
    <row r="42" spans="1:9" ht="60" x14ac:dyDescent="0.25">
      <c r="A42" s="5" t="s">
        <v>57</v>
      </c>
      <c r="B42" s="5" t="s">
        <v>72</v>
      </c>
      <c r="C42" s="12">
        <v>2.3E-2</v>
      </c>
      <c r="D42" s="13" t="s">
        <v>10</v>
      </c>
    </row>
    <row r="46" spans="1:9" ht="14.25" thickBot="1" x14ac:dyDescent="0.3">
      <c r="A46" s="211" t="s">
        <v>59</v>
      </c>
      <c r="B46" s="211"/>
      <c r="C46" s="211"/>
      <c r="D46" s="211"/>
      <c r="E46" s="211"/>
      <c r="F46" s="211"/>
      <c r="G46" s="211"/>
    </row>
    <row r="47" spans="1:9" x14ac:dyDescent="0.2">
      <c r="A47" s="139"/>
      <c r="B47" s="216" t="s">
        <v>136</v>
      </c>
      <c r="C47" s="216"/>
      <c r="D47" s="138"/>
      <c r="E47" s="138"/>
    </row>
    <row r="48" spans="1:9" x14ac:dyDescent="0.25">
      <c r="A48" s="135"/>
      <c r="B48" s="145" t="s">
        <v>137</v>
      </c>
      <c r="C48" s="145" t="s">
        <v>138</v>
      </c>
      <c r="D48" s="90"/>
      <c r="E48" s="90"/>
    </row>
    <row r="49" spans="1:13" ht="14.25" thickBot="1" x14ac:dyDescent="0.3">
      <c r="A49" s="127" t="s">
        <v>139</v>
      </c>
      <c r="B49" s="146">
        <v>3.363</v>
      </c>
      <c r="C49" s="147">
        <f>B49*$C$42</f>
        <v>7.7349000000000001E-2</v>
      </c>
      <c r="D49" s="142"/>
      <c r="E49" s="142"/>
      <c r="F49" s="143"/>
      <c r="G49" s="144"/>
    </row>
    <row r="50" spans="1:13" ht="14.25" thickBot="1" x14ac:dyDescent="0.3">
      <c r="A50" s="135" t="s">
        <v>133</v>
      </c>
      <c r="B50" s="136">
        <v>0</v>
      </c>
      <c r="C50" s="137"/>
      <c r="D50" s="128" t="s">
        <v>135</v>
      </c>
      <c r="F50" s="140"/>
      <c r="G50" s="141"/>
    </row>
    <row r="51" spans="1:13" x14ac:dyDescent="0.25">
      <c r="F51" s="214" t="s">
        <v>45</v>
      </c>
      <c r="G51" s="215"/>
    </row>
    <row r="52" spans="1:13" x14ac:dyDescent="0.25">
      <c r="F52" s="140" t="s">
        <v>95</v>
      </c>
      <c r="G52" s="141" t="s">
        <v>96</v>
      </c>
    </row>
    <row r="53" spans="1:13" ht="36" customHeight="1" x14ac:dyDescent="0.25">
      <c r="A53" s="4" t="s">
        <v>64</v>
      </c>
      <c r="B53" s="65" t="s">
        <v>73</v>
      </c>
      <c r="C53" s="4" t="s">
        <v>74</v>
      </c>
      <c r="F53" s="4" t="s">
        <v>74</v>
      </c>
      <c r="G53" s="4" t="s">
        <v>74</v>
      </c>
    </row>
    <row r="54" spans="1:13" x14ac:dyDescent="0.25">
      <c r="A54" s="5"/>
      <c r="B54" s="5" t="s">
        <v>5</v>
      </c>
      <c r="C54" s="5" t="s">
        <v>1</v>
      </c>
      <c r="F54" s="5" t="s">
        <v>1</v>
      </c>
      <c r="G54" s="5" t="s">
        <v>1</v>
      </c>
    </row>
    <row r="55" spans="1:13" s="90" customFormat="1" x14ac:dyDescent="0.25">
      <c r="A55" s="5">
        <v>2020</v>
      </c>
      <c r="B55" s="12">
        <f>C49</f>
        <v>7.7349000000000001E-2</v>
      </c>
      <c r="C55" s="91">
        <f t="shared" ref="C55:C83" si="0">B55*$C$11*$C$29</f>
        <v>4.6409400000000005</v>
      </c>
      <c r="F55" s="91">
        <f t="shared" ref="F55:F83" si="1">B55*$C$11*$H$29</f>
        <v>7.7349000000000006</v>
      </c>
      <c r="G55" s="91">
        <f t="shared" ref="G55:G83" si="2">B55*$C$11*$I$29</f>
        <v>2.3204700000000003</v>
      </c>
      <c r="J55" s="85"/>
      <c r="K55" s="85"/>
      <c r="L55" s="85"/>
      <c r="M55" s="85"/>
    </row>
    <row r="56" spans="1:13" x14ac:dyDescent="0.25">
      <c r="A56" s="5">
        <v>2021</v>
      </c>
      <c r="B56" s="92">
        <f t="shared" ref="B56:B83" si="3">B55*(1+$B$50)</f>
        <v>7.7349000000000001E-2</v>
      </c>
      <c r="C56" s="91">
        <f t="shared" si="0"/>
        <v>4.6409400000000005</v>
      </c>
      <c r="F56" s="91">
        <f t="shared" si="1"/>
        <v>7.7349000000000006</v>
      </c>
      <c r="G56" s="91">
        <f t="shared" si="2"/>
        <v>2.3204700000000003</v>
      </c>
    </row>
    <row r="57" spans="1:13" x14ac:dyDescent="0.25">
      <c r="A57" s="5">
        <v>2022</v>
      </c>
      <c r="B57" s="92">
        <f t="shared" si="3"/>
        <v>7.7349000000000001E-2</v>
      </c>
      <c r="C57" s="91">
        <f t="shared" si="0"/>
        <v>4.6409400000000005</v>
      </c>
      <c r="F57" s="91">
        <f t="shared" si="1"/>
        <v>7.7349000000000006</v>
      </c>
      <c r="G57" s="91">
        <f t="shared" si="2"/>
        <v>2.3204700000000003</v>
      </c>
    </row>
    <row r="58" spans="1:13" x14ac:dyDescent="0.25">
      <c r="A58" s="5">
        <v>2023</v>
      </c>
      <c r="B58" s="92">
        <f t="shared" si="3"/>
        <v>7.7349000000000001E-2</v>
      </c>
      <c r="C58" s="91">
        <f t="shared" si="0"/>
        <v>4.6409400000000005</v>
      </c>
      <c r="F58" s="91">
        <f t="shared" si="1"/>
        <v>7.7349000000000006</v>
      </c>
      <c r="G58" s="91">
        <f t="shared" si="2"/>
        <v>2.3204700000000003</v>
      </c>
    </row>
    <row r="59" spans="1:13" x14ac:dyDescent="0.25">
      <c r="A59" s="5">
        <v>2024</v>
      </c>
      <c r="B59" s="92">
        <f t="shared" si="3"/>
        <v>7.7349000000000001E-2</v>
      </c>
      <c r="C59" s="91">
        <f t="shared" si="0"/>
        <v>4.6409400000000005</v>
      </c>
      <c r="F59" s="91">
        <f t="shared" si="1"/>
        <v>7.7349000000000006</v>
      </c>
      <c r="G59" s="91">
        <f t="shared" si="2"/>
        <v>2.3204700000000003</v>
      </c>
    </row>
    <row r="60" spans="1:13" x14ac:dyDescent="0.25">
      <c r="A60" s="5">
        <v>2025</v>
      </c>
      <c r="B60" s="92">
        <f t="shared" si="3"/>
        <v>7.7349000000000001E-2</v>
      </c>
      <c r="C60" s="91">
        <f t="shared" si="0"/>
        <v>4.6409400000000005</v>
      </c>
      <c r="F60" s="91">
        <f t="shared" si="1"/>
        <v>7.7349000000000006</v>
      </c>
      <c r="G60" s="91">
        <f t="shared" si="2"/>
        <v>2.3204700000000003</v>
      </c>
    </row>
    <row r="61" spans="1:13" x14ac:dyDescent="0.25">
      <c r="A61" s="5">
        <v>2026</v>
      </c>
      <c r="B61" s="92">
        <f t="shared" si="3"/>
        <v>7.7349000000000001E-2</v>
      </c>
      <c r="C61" s="91">
        <f t="shared" si="0"/>
        <v>4.6409400000000005</v>
      </c>
      <c r="F61" s="91">
        <f t="shared" si="1"/>
        <v>7.7349000000000006</v>
      </c>
      <c r="G61" s="91">
        <f t="shared" si="2"/>
        <v>2.3204700000000003</v>
      </c>
    </row>
    <row r="62" spans="1:13" x14ac:dyDescent="0.25">
      <c r="A62" s="5">
        <v>2027</v>
      </c>
      <c r="B62" s="92">
        <f t="shared" si="3"/>
        <v>7.7349000000000001E-2</v>
      </c>
      <c r="C62" s="91">
        <f t="shared" si="0"/>
        <v>4.6409400000000005</v>
      </c>
      <c r="F62" s="91">
        <f t="shared" si="1"/>
        <v>7.7349000000000006</v>
      </c>
      <c r="G62" s="91">
        <f t="shared" si="2"/>
        <v>2.3204700000000003</v>
      </c>
    </row>
    <row r="63" spans="1:13" x14ac:dyDescent="0.25">
      <c r="A63" s="5">
        <v>2028</v>
      </c>
      <c r="B63" s="92">
        <f t="shared" si="3"/>
        <v>7.7349000000000001E-2</v>
      </c>
      <c r="C63" s="91">
        <f t="shared" si="0"/>
        <v>4.6409400000000005</v>
      </c>
      <c r="F63" s="91">
        <f t="shared" si="1"/>
        <v>7.7349000000000006</v>
      </c>
      <c r="G63" s="91">
        <f t="shared" si="2"/>
        <v>2.3204700000000003</v>
      </c>
    </row>
    <row r="64" spans="1:13" x14ac:dyDescent="0.25">
      <c r="A64" s="5">
        <v>2029</v>
      </c>
      <c r="B64" s="92">
        <f t="shared" si="3"/>
        <v>7.7349000000000001E-2</v>
      </c>
      <c r="C64" s="91">
        <f t="shared" si="0"/>
        <v>4.6409400000000005</v>
      </c>
      <c r="F64" s="91">
        <f t="shared" si="1"/>
        <v>7.7349000000000006</v>
      </c>
      <c r="G64" s="91">
        <f t="shared" si="2"/>
        <v>2.3204700000000003</v>
      </c>
    </row>
    <row r="65" spans="1:7" x14ac:dyDescent="0.25">
      <c r="A65" s="5">
        <v>2030</v>
      </c>
      <c r="B65" s="92">
        <f t="shared" si="3"/>
        <v>7.7349000000000001E-2</v>
      </c>
      <c r="C65" s="91">
        <f t="shared" si="0"/>
        <v>4.6409400000000005</v>
      </c>
      <c r="F65" s="91">
        <f t="shared" si="1"/>
        <v>7.7349000000000006</v>
      </c>
      <c r="G65" s="91">
        <f t="shared" si="2"/>
        <v>2.3204700000000003</v>
      </c>
    </row>
    <row r="66" spans="1:7" x14ac:dyDescent="0.25">
      <c r="A66" s="5">
        <v>2031</v>
      </c>
      <c r="B66" s="92">
        <f t="shared" si="3"/>
        <v>7.7349000000000001E-2</v>
      </c>
      <c r="C66" s="91">
        <f t="shared" si="0"/>
        <v>4.6409400000000005</v>
      </c>
      <c r="F66" s="91">
        <f t="shared" si="1"/>
        <v>7.7349000000000006</v>
      </c>
      <c r="G66" s="91">
        <f t="shared" si="2"/>
        <v>2.3204700000000003</v>
      </c>
    </row>
    <row r="67" spans="1:7" x14ac:dyDescent="0.25">
      <c r="A67" s="5">
        <v>2032</v>
      </c>
      <c r="B67" s="92">
        <f t="shared" si="3"/>
        <v>7.7349000000000001E-2</v>
      </c>
      <c r="C67" s="91">
        <f t="shared" si="0"/>
        <v>4.6409400000000005</v>
      </c>
      <c r="F67" s="91">
        <f t="shared" si="1"/>
        <v>7.7349000000000006</v>
      </c>
      <c r="G67" s="91">
        <f t="shared" si="2"/>
        <v>2.3204700000000003</v>
      </c>
    </row>
    <row r="68" spans="1:7" x14ac:dyDescent="0.25">
      <c r="A68" s="5">
        <v>2033</v>
      </c>
      <c r="B68" s="92">
        <f t="shared" si="3"/>
        <v>7.7349000000000001E-2</v>
      </c>
      <c r="C68" s="91">
        <f t="shared" si="0"/>
        <v>4.6409400000000005</v>
      </c>
      <c r="F68" s="91">
        <f t="shared" si="1"/>
        <v>7.7349000000000006</v>
      </c>
      <c r="G68" s="91">
        <f t="shared" si="2"/>
        <v>2.3204700000000003</v>
      </c>
    </row>
    <row r="69" spans="1:7" x14ac:dyDescent="0.25">
      <c r="A69" s="5">
        <v>2034</v>
      </c>
      <c r="B69" s="92">
        <f t="shared" si="3"/>
        <v>7.7349000000000001E-2</v>
      </c>
      <c r="C69" s="91">
        <f t="shared" si="0"/>
        <v>4.6409400000000005</v>
      </c>
      <c r="F69" s="91">
        <f t="shared" si="1"/>
        <v>7.7349000000000006</v>
      </c>
      <c r="G69" s="91">
        <f t="shared" si="2"/>
        <v>2.3204700000000003</v>
      </c>
    </row>
    <row r="70" spans="1:7" x14ac:dyDescent="0.25">
      <c r="A70" s="5">
        <v>2035</v>
      </c>
      <c r="B70" s="92">
        <f t="shared" si="3"/>
        <v>7.7349000000000001E-2</v>
      </c>
      <c r="C70" s="91">
        <f t="shared" si="0"/>
        <v>4.6409400000000005</v>
      </c>
      <c r="F70" s="91">
        <f t="shared" si="1"/>
        <v>7.7349000000000006</v>
      </c>
      <c r="G70" s="91">
        <f t="shared" si="2"/>
        <v>2.3204700000000003</v>
      </c>
    </row>
    <row r="71" spans="1:7" x14ac:dyDescent="0.25">
      <c r="A71" s="5">
        <v>2036</v>
      </c>
      <c r="B71" s="92">
        <f t="shared" si="3"/>
        <v>7.7349000000000001E-2</v>
      </c>
      <c r="C71" s="91">
        <f t="shared" si="0"/>
        <v>4.6409400000000005</v>
      </c>
      <c r="F71" s="91">
        <f t="shared" si="1"/>
        <v>7.7349000000000006</v>
      </c>
      <c r="G71" s="91">
        <f t="shared" si="2"/>
        <v>2.3204700000000003</v>
      </c>
    </row>
    <row r="72" spans="1:7" x14ac:dyDescent="0.25">
      <c r="A72" s="5">
        <v>2037</v>
      </c>
      <c r="B72" s="92">
        <f t="shared" si="3"/>
        <v>7.7349000000000001E-2</v>
      </c>
      <c r="C72" s="91">
        <f t="shared" si="0"/>
        <v>4.6409400000000005</v>
      </c>
      <c r="F72" s="91">
        <f t="shared" si="1"/>
        <v>7.7349000000000006</v>
      </c>
      <c r="G72" s="91">
        <f t="shared" si="2"/>
        <v>2.3204700000000003</v>
      </c>
    </row>
    <row r="73" spans="1:7" x14ac:dyDescent="0.25">
      <c r="A73" s="5">
        <v>2038</v>
      </c>
      <c r="B73" s="92">
        <f t="shared" si="3"/>
        <v>7.7349000000000001E-2</v>
      </c>
      <c r="C73" s="91">
        <f t="shared" si="0"/>
        <v>4.6409400000000005</v>
      </c>
      <c r="F73" s="91">
        <f t="shared" si="1"/>
        <v>7.7349000000000006</v>
      </c>
      <c r="G73" s="91">
        <f t="shared" si="2"/>
        <v>2.3204700000000003</v>
      </c>
    </row>
    <row r="74" spans="1:7" x14ac:dyDescent="0.25">
      <c r="A74" s="5">
        <v>2039</v>
      </c>
      <c r="B74" s="92">
        <f t="shared" si="3"/>
        <v>7.7349000000000001E-2</v>
      </c>
      <c r="C74" s="91">
        <f t="shared" si="0"/>
        <v>4.6409400000000005</v>
      </c>
      <c r="F74" s="91">
        <f t="shared" si="1"/>
        <v>7.7349000000000006</v>
      </c>
      <c r="G74" s="91">
        <f t="shared" si="2"/>
        <v>2.3204700000000003</v>
      </c>
    </row>
    <row r="75" spans="1:7" x14ac:dyDescent="0.25">
      <c r="A75" s="5">
        <v>2040</v>
      </c>
      <c r="B75" s="92">
        <f t="shared" si="3"/>
        <v>7.7349000000000001E-2</v>
      </c>
      <c r="C75" s="91">
        <f t="shared" si="0"/>
        <v>4.6409400000000005</v>
      </c>
      <c r="F75" s="91">
        <f t="shared" si="1"/>
        <v>7.7349000000000006</v>
      </c>
      <c r="G75" s="91">
        <f t="shared" si="2"/>
        <v>2.3204700000000003</v>
      </c>
    </row>
    <row r="76" spans="1:7" x14ac:dyDescent="0.25">
      <c r="A76" s="5">
        <v>2041</v>
      </c>
      <c r="B76" s="92">
        <f t="shared" si="3"/>
        <v>7.7349000000000001E-2</v>
      </c>
      <c r="C76" s="91">
        <f t="shared" si="0"/>
        <v>4.6409400000000005</v>
      </c>
      <c r="F76" s="91">
        <f t="shared" si="1"/>
        <v>7.7349000000000006</v>
      </c>
      <c r="G76" s="91">
        <f t="shared" si="2"/>
        <v>2.3204700000000003</v>
      </c>
    </row>
    <row r="77" spans="1:7" x14ac:dyDescent="0.25">
      <c r="A77" s="5">
        <v>2042</v>
      </c>
      <c r="B77" s="92">
        <f t="shared" si="3"/>
        <v>7.7349000000000001E-2</v>
      </c>
      <c r="C77" s="91">
        <f t="shared" si="0"/>
        <v>4.6409400000000005</v>
      </c>
      <c r="F77" s="91">
        <f t="shared" si="1"/>
        <v>7.7349000000000006</v>
      </c>
      <c r="G77" s="91">
        <f t="shared" si="2"/>
        <v>2.3204700000000003</v>
      </c>
    </row>
    <row r="78" spans="1:7" x14ac:dyDescent="0.25">
      <c r="A78" s="5">
        <v>2043</v>
      </c>
      <c r="B78" s="92">
        <f t="shared" si="3"/>
        <v>7.7349000000000001E-2</v>
      </c>
      <c r="C78" s="91">
        <f t="shared" si="0"/>
        <v>4.6409400000000005</v>
      </c>
      <c r="F78" s="91">
        <f t="shared" si="1"/>
        <v>7.7349000000000006</v>
      </c>
      <c r="G78" s="91">
        <f t="shared" si="2"/>
        <v>2.3204700000000003</v>
      </c>
    </row>
    <row r="79" spans="1:7" x14ac:dyDescent="0.25">
      <c r="A79" s="5">
        <v>2044</v>
      </c>
      <c r="B79" s="92">
        <f t="shared" si="3"/>
        <v>7.7349000000000001E-2</v>
      </c>
      <c r="C79" s="91">
        <f t="shared" si="0"/>
        <v>4.6409400000000005</v>
      </c>
      <c r="F79" s="91">
        <f t="shared" si="1"/>
        <v>7.7349000000000006</v>
      </c>
      <c r="G79" s="91">
        <f t="shared" si="2"/>
        <v>2.3204700000000003</v>
      </c>
    </row>
    <row r="80" spans="1:7" x14ac:dyDescent="0.25">
      <c r="A80" s="5">
        <v>2045</v>
      </c>
      <c r="B80" s="92">
        <f t="shared" si="3"/>
        <v>7.7349000000000001E-2</v>
      </c>
      <c r="C80" s="91">
        <f t="shared" si="0"/>
        <v>4.6409400000000005</v>
      </c>
      <c r="F80" s="91">
        <f t="shared" si="1"/>
        <v>7.7349000000000006</v>
      </c>
      <c r="G80" s="91">
        <f t="shared" si="2"/>
        <v>2.3204700000000003</v>
      </c>
    </row>
    <row r="81" spans="1:7" x14ac:dyDescent="0.25">
      <c r="A81" s="5">
        <v>2046</v>
      </c>
      <c r="B81" s="92">
        <f t="shared" si="3"/>
        <v>7.7349000000000001E-2</v>
      </c>
      <c r="C81" s="91">
        <f t="shared" si="0"/>
        <v>4.6409400000000005</v>
      </c>
      <c r="F81" s="91">
        <f t="shared" si="1"/>
        <v>7.7349000000000006</v>
      </c>
      <c r="G81" s="91">
        <f t="shared" si="2"/>
        <v>2.3204700000000003</v>
      </c>
    </row>
    <row r="82" spans="1:7" x14ac:dyDescent="0.25">
      <c r="A82" s="5">
        <v>2047</v>
      </c>
      <c r="B82" s="92">
        <f t="shared" si="3"/>
        <v>7.7349000000000001E-2</v>
      </c>
      <c r="C82" s="91">
        <f t="shared" si="0"/>
        <v>4.6409400000000005</v>
      </c>
      <c r="F82" s="91">
        <f t="shared" si="1"/>
        <v>7.7349000000000006</v>
      </c>
      <c r="G82" s="91">
        <f t="shared" si="2"/>
        <v>2.3204700000000003</v>
      </c>
    </row>
    <row r="83" spans="1:7" x14ac:dyDescent="0.25">
      <c r="A83" s="5">
        <v>2048</v>
      </c>
      <c r="B83" s="92">
        <f t="shared" si="3"/>
        <v>7.7349000000000001E-2</v>
      </c>
      <c r="C83" s="91">
        <f t="shared" si="0"/>
        <v>4.6409400000000005</v>
      </c>
      <c r="F83" s="91">
        <f t="shared" si="1"/>
        <v>7.7349000000000006</v>
      </c>
      <c r="G83" s="91">
        <f t="shared" si="2"/>
        <v>2.3204700000000003</v>
      </c>
    </row>
    <row r="85" spans="1:7" ht="15" x14ac:dyDescent="0.25">
      <c r="A85" s="85" t="s">
        <v>92</v>
      </c>
      <c r="B85" s="148" t="s">
        <v>74</v>
      </c>
      <c r="C85" s="149" t="s">
        <v>140</v>
      </c>
    </row>
    <row r="87" spans="1:7" x14ac:dyDescent="0.25">
      <c r="A87" s="211" t="s">
        <v>60</v>
      </c>
      <c r="B87" s="211"/>
      <c r="C87" s="211"/>
      <c r="D87" s="211"/>
      <c r="E87" s="211"/>
      <c r="F87" s="211"/>
    </row>
    <row r="88" spans="1:7" x14ac:dyDescent="0.25">
      <c r="A88" s="84" t="s">
        <v>94</v>
      </c>
    </row>
    <row r="89" spans="1:7" x14ac:dyDescent="0.25">
      <c r="A89" s="4" t="s">
        <v>35</v>
      </c>
      <c r="B89" s="4" t="s">
        <v>36</v>
      </c>
      <c r="C89" s="4" t="s">
        <v>37</v>
      </c>
      <c r="D89" s="4" t="s">
        <v>38</v>
      </c>
    </row>
    <row r="90" spans="1:7" x14ac:dyDescent="0.25">
      <c r="A90" s="5" t="s">
        <v>61</v>
      </c>
      <c r="B90" s="5" t="s">
        <v>4</v>
      </c>
      <c r="C90" s="10">
        <v>0.05</v>
      </c>
      <c r="D90" s="82"/>
    </row>
    <row r="91" spans="1:7" x14ac:dyDescent="0.25">
      <c r="A91" s="5" t="s">
        <v>25</v>
      </c>
      <c r="B91" s="5" t="s">
        <v>4</v>
      </c>
      <c r="C91" s="11">
        <v>0</v>
      </c>
      <c r="D91" s="82"/>
    </row>
    <row r="92" spans="1:7" x14ac:dyDescent="0.25">
      <c r="A92" s="5" t="s">
        <v>62</v>
      </c>
      <c r="B92" s="5" t="s">
        <v>4</v>
      </c>
      <c r="C92" s="11">
        <v>0.22</v>
      </c>
      <c r="D92" s="82"/>
    </row>
    <row r="93" spans="1:7" x14ac:dyDescent="0.25">
      <c r="A93" s="5" t="s">
        <v>24</v>
      </c>
      <c r="B93" s="5" t="s">
        <v>4</v>
      </c>
      <c r="C93" s="69">
        <v>0</v>
      </c>
      <c r="D93" s="82"/>
    </row>
    <row r="94" spans="1:7" x14ac:dyDescent="0.25">
      <c r="A94" s="5" t="s">
        <v>26</v>
      </c>
      <c r="B94" s="5" t="s">
        <v>1</v>
      </c>
      <c r="C94" s="79">
        <v>0</v>
      </c>
      <c r="D94" s="82"/>
    </row>
    <row r="95" spans="1:7" x14ac:dyDescent="0.25">
      <c r="A95" s="5" t="s">
        <v>28</v>
      </c>
      <c r="B95" s="5" t="s">
        <v>1</v>
      </c>
      <c r="C95" s="79">
        <v>0</v>
      </c>
      <c r="D95" s="82"/>
    </row>
    <row r="96" spans="1:7" s="86" customFormat="1" x14ac:dyDescent="0.25">
      <c r="A96" s="6"/>
      <c r="B96" s="6"/>
      <c r="C96" s="68"/>
      <c r="D96" s="64"/>
    </row>
    <row r="97" spans="1:7" x14ac:dyDescent="0.25">
      <c r="A97" s="211" t="s">
        <v>75</v>
      </c>
      <c r="B97" s="211"/>
      <c r="C97" s="211"/>
      <c r="D97" s="211"/>
      <c r="E97" s="211"/>
      <c r="F97" s="211"/>
    </row>
    <row r="98" spans="1:7" x14ac:dyDescent="0.25">
      <c r="A98" s="4" t="s">
        <v>35</v>
      </c>
      <c r="B98" s="4" t="s">
        <v>36</v>
      </c>
      <c r="C98" s="4" t="s">
        <v>37</v>
      </c>
      <c r="D98" s="4" t="s">
        <v>38</v>
      </c>
    </row>
    <row r="99" spans="1:7" x14ac:dyDescent="0.25">
      <c r="A99" s="93" t="s">
        <v>65</v>
      </c>
      <c r="B99" s="5" t="s">
        <v>11</v>
      </c>
      <c r="C99" s="16">
        <v>2.7600000000000003E-2</v>
      </c>
      <c r="D99" s="15"/>
      <c r="F99" s="210" t="s">
        <v>67</v>
      </c>
      <c r="G99" s="210"/>
    </row>
    <row r="100" spans="1:7" x14ac:dyDescent="0.25">
      <c r="A100" s="93" t="s">
        <v>66</v>
      </c>
      <c r="B100" s="5" t="s">
        <v>12</v>
      </c>
      <c r="C100" s="16">
        <v>40</v>
      </c>
      <c r="D100" s="15"/>
      <c r="F100" s="115" t="s">
        <v>95</v>
      </c>
      <c r="G100" s="115" t="s">
        <v>96</v>
      </c>
    </row>
    <row r="101" spans="1:7" x14ac:dyDescent="0.25">
      <c r="F101" s="5" t="s">
        <v>1</v>
      </c>
      <c r="G101" s="5" t="s">
        <v>1</v>
      </c>
    </row>
    <row r="102" spans="1:7" x14ac:dyDescent="0.25">
      <c r="A102" s="93" t="s">
        <v>151</v>
      </c>
      <c r="B102" s="5" t="s">
        <v>16</v>
      </c>
      <c r="C102" s="16">
        <f>C99*C11*C30/1000</f>
        <v>1.3248000000000001E-2</v>
      </c>
      <c r="D102" s="15"/>
      <c r="F102" s="114">
        <f>C99*H30*C11/1000*$C$100</f>
        <v>0.88320000000000021</v>
      </c>
      <c r="G102" s="114">
        <f>C99*I30*C11/1000*$C$100</f>
        <v>0.26496000000000008</v>
      </c>
    </row>
    <row r="103" spans="1:7" x14ac:dyDescent="0.25">
      <c r="A103" s="93" t="s">
        <v>152</v>
      </c>
      <c r="B103" s="5" t="s">
        <v>1</v>
      </c>
      <c r="C103" s="116">
        <f>C102*$C$100</f>
        <v>0.52992000000000006</v>
      </c>
      <c r="D103" s="15"/>
    </row>
  </sheetData>
  <mergeCells count="11">
    <mergeCell ref="F99:G99"/>
    <mergeCell ref="A97:F97"/>
    <mergeCell ref="A1:F1"/>
    <mergeCell ref="A4:F4"/>
    <mergeCell ref="A36:F36"/>
    <mergeCell ref="A87:F87"/>
    <mergeCell ref="A26:D26"/>
    <mergeCell ref="E26:I26"/>
    <mergeCell ref="F51:G51"/>
    <mergeCell ref="A46:G46"/>
    <mergeCell ref="B47:C47"/>
  </mergeCells>
  <dataValidations count="2">
    <dataValidation showInputMessage="1" showErrorMessage="1" sqref="C7:C12 H11 F17:F19 C17 C23:C24 C90:C96 H7:H8 H29:I33 C29:C34 C39:C42" xr:uid="{028A789C-13FC-4BA8-BD35-406333530ABA}"/>
    <dataValidation showInputMessage="1" showErrorMessage="1" errorTitle="Error" error="Debe elegir un modelo" promptTitle="Seleccionar" sqref="D39:D40 E9 D17 J7 E7 D14 D8:D11 D90:D96 E29 D30:D34 G17:G19 D23:D24" xr:uid="{192A9A90-5B5C-45E1-8D25-5967310D923C}"/>
  </dataValidations>
  <hyperlinks>
    <hyperlink ref="D42" r:id="rId1" xr:uid="{4C6CDBA4-B655-4E8C-B7B6-23DEE7E9BA6A}"/>
    <hyperlink ref="D12" r:id="rId2" xr:uid="{4BE44E3E-F151-41FC-ADC5-46D52634C884}"/>
    <hyperlink ref="D10" r:id="rId3" xr:uid="{A50EB80B-9B45-4403-ADF1-23193804E795}"/>
    <hyperlink ref="E7" r:id="rId4" xr:uid="{8DFCA9BD-3827-4D88-936E-24DC0303C2A0}"/>
    <hyperlink ref="D17" r:id="rId5" location="D[A:cargador%20para%20moto%20electrica%20veems]" display="https://listado.mercadolibre.com.uy/cargador-para-moto-electrica-veems#D[A:cargador%20para%20moto%20electrica%20veems]" xr:uid="{4299552E-57C5-4E5B-9E69-85CB9BE8B4D6}"/>
    <hyperlink ref="D8" r:id="rId6" xr:uid="{2A7DA78A-ADA1-4EE4-AFC8-BCCC752DE179}"/>
    <hyperlink ref="D11" r:id="rId7" xr:uid="{BA8A9E95-8D06-41EF-89C7-A96B1B36D9D1}"/>
    <hyperlink ref="E18" r:id="rId8" xr:uid="{065FE67D-C4CD-4E97-9567-7169ED39AC6A}"/>
    <hyperlink ref="E24" r:id="rId9" xr:uid="{0A8FD12B-4F3E-406D-A106-9F5C7E2A70B0}"/>
    <hyperlink ref="E23" r:id="rId10" xr:uid="{4E54D578-37A3-4FF3-A651-B565555158C9}"/>
    <hyperlink ref="C85" r:id="rId11" xr:uid="{E5E06161-FDC3-4BA0-A548-41148453535F}"/>
    <hyperlink ref="D41" r:id="rId12" xr:uid="{545FD146-F08E-416F-BB47-F1E7B6F4A801}"/>
  </hyperlinks>
  <pageMargins left="0.7" right="0.7" top="0.75" bottom="0.75" header="0.3" footer="0.3"/>
  <pageSetup orientation="portrait" r:id="rId13"/>
  <ignoredErrors>
    <ignoredError sqref="H8" formula="1"/>
  </ignoredErrors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S158"/>
  <sheetViews>
    <sheetView zoomScaleNormal="100" workbookViewId="0">
      <selection sqref="A1:F1"/>
    </sheetView>
  </sheetViews>
  <sheetFormatPr baseColWidth="10" defaultColWidth="10.85546875" defaultRowHeight="13.5" x14ac:dyDescent="0.25"/>
  <cols>
    <col min="1" max="1" width="21" style="2" customWidth="1"/>
    <col min="2" max="2" width="32.42578125" style="2" customWidth="1"/>
    <col min="3" max="3" width="13.85546875" style="2" customWidth="1"/>
    <col min="4" max="4" width="14.42578125" style="2" customWidth="1"/>
    <col min="5" max="5" width="19.28515625" style="2" bestFit="1" customWidth="1"/>
    <col min="6" max="7" width="14.42578125" style="2" customWidth="1"/>
    <col min="8" max="8" width="13.85546875" style="2" customWidth="1"/>
    <col min="9" max="9" width="10.85546875" style="2"/>
    <col min="10" max="10" width="15.140625" style="2" customWidth="1"/>
    <col min="11" max="11" width="30.42578125" style="2" bestFit="1" customWidth="1"/>
    <col min="12" max="15" width="14.28515625" style="2" customWidth="1"/>
    <col min="16" max="16384" width="10.85546875" style="2"/>
  </cols>
  <sheetData>
    <row r="1" spans="1:8" x14ac:dyDescent="0.25">
      <c r="A1" s="220" t="s">
        <v>76</v>
      </c>
      <c r="B1" s="220"/>
      <c r="C1" s="220"/>
      <c r="D1" s="220"/>
      <c r="E1" s="220"/>
      <c r="F1" s="220"/>
      <c r="G1" s="34"/>
      <c r="H1" s="34"/>
    </row>
    <row r="2" spans="1:8" x14ac:dyDescent="0.25">
      <c r="C2" s="25" t="s">
        <v>100</v>
      </c>
      <c r="D2" s="25" t="s">
        <v>77</v>
      </c>
      <c r="E2" s="32"/>
      <c r="F2" s="32"/>
    </row>
    <row r="3" spans="1:8" x14ac:dyDescent="0.25">
      <c r="B3" s="43"/>
      <c r="C3" s="49"/>
      <c r="D3" s="20"/>
      <c r="E3" s="20"/>
      <c r="F3" s="72"/>
    </row>
    <row r="4" spans="1:8" x14ac:dyDescent="0.25">
      <c r="A4" s="217" t="s">
        <v>13</v>
      </c>
      <c r="B4" s="18" t="s">
        <v>126</v>
      </c>
      <c r="C4" s="24">
        <f>Parametros!C7</f>
        <v>1300</v>
      </c>
      <c r="D4" s="40">
        <f t="shared" ref="D4:D14" ca="1" si="0">C4/($C$15)</f>
        <v>0.53609281031212785</v>
      </c>
      <c r="E4" s="33"/>
      <c r="F4" s="73"/>
    </row>
    <row r="5" spans="1:8" x14ac:dyDescent="0.25">
      <c r="A5" s="218"/>
      <c r="B5" s="21" t="s">
        <v>39</v>
      </c>
      <c r="C5" s="22">
        <f>Parametros!C17</f>
        <v>0</v>
      </c>
      <c r="D5" s="41">
        <f t="shared" ca="1" si="0"/>
        <v>0</v>
      </c>
      <c r="E5" s="33"/>
      <c r="F5" s="73"/>
    </row>
    <row r="6" spans="1:8" x14ac:dyDescent="0.25">
      <c r="A6" s="219"/>
      <c r="B6" s="19" t="s">
        <v>78</v>
      </c>
      <c r="C6" s="22">
        <f>(Parametros!$C$18*Parametros!$C$8*(1-Parametros!$C$23))*1</f>
        <v>300</v>
      </c>
      <c r="D6" s="41">
        <f t="shared" ca="1" si="0"/>
        <v>0.12371372545664489</v>
      </c>
      <c r="E6" s="33"/>
      <c r="F6" s="73"/>
    </row>
    <row r="7" spans="1:8" x14ac:dyDescent="0.25">
      <c r="A7" s="217" t="s">
        <v>14</v>
      </c>
      <c r="B7" s="18" t="s">
        <v>61</v>
      </c>
      <c r="C7" s="24">
        <f>Parametros!$C$90*C4</f>
        <v>65</v>
      </c>
      <c r="D7" s="40">
        <f t="shared" ca="1" si="0"/>
        <v>2.6804640515606392E-2</v>
      </c>
      <c r="E7" s="33"/>
      <c r="F7" s="73"/>
    </row>
    <row r="8" spans="1:8" x14ac:dyDescent="0.25">
      <c r="A8" s="218"/>
      <c r="B8" s="76" t="s">
        <v>25</v>
      </c>
      <c r="C8" s="22">
        <f>C4*Parametros!$C$91</f>
        <v>0</v>
      </c>
      <c r="D8" s="41">
        <f t="shared" ca="1" si="0"/>
        <v>0</v>
      </c>
      <c r="E8" s="33"/>
      <c r="F8" s="73"/>
    </row>
    <row r="9" spans="1:8" x14ac:dyDescent="0.25">
      <c r="A9" s="218"/>
      <c r="B9" s="76" t="s">
        <v>62</v>
      </c>
      <c r="C9" s="22">
        <f>Parametros!$C$92*C4</f>
        <v>286</v>
      </c>
      <c r="D9" s="41">
        <f t="shared" ca="1" si="0"/>
        <v>0.11794041826866812</v>
      </c>
      <c r="E9" s="33"/>
      <c r="F9" s="73"/>
    </row>
    <row r="10" spans="1:8" x14ac:dyDescent="0.25">
      <c r="A10" s="218"/>
      <c r="B10" s="76" t="s">
        <v>24</v>
      </c>
      <c r="C10" s="22">
        <f>Parametros!$C$93*C4</f>
        <v>0</v>
      </c>
      <c r="D10" s="41">
        <f t="shared" ca="1" si="0"/>
        <v>0</v>
      </c>
      <c r="E10" s="33"/>
      <c r="F10" s="73"/>
    </row>
    <row r="11" spans="1:8" x14ac:dyDescent="0.25">
      <c r="A11" s="218"/>
      <c r="B11" s="76" t="s">
        <v>98</v>
      </c>
      <c r="C11" s="22">
        <f>Parametros!$C$94*C4+(Parametros!$C$95*C4*(Parametros!C9-1))</f>
        <v>0</v>
      </c>
      <c r="D11" s="41">
        <f t="shared" ca="1" si="0"/>
        <v>0</v>
      </c>
      <c r="E11" s="33"/>
      <c r="F11" s="73"/>
    </row>
    <row r="12" spans="1:8" x14ac:dyDescent="0.25">
      <c r="A12" s="219"/>
      <c r="B12" s="19" t="s">
        <v>79</v>
      </c>
      <c r="C12" s="22">
        <f>-CUMIPMT(Parametros!$C$41,Parametros!$C$40,SUM(CTP!$C$4,CTP!$C$7:$C$10),1,3,0)</f>
        <v>196.82572502319772</v>
      </c>
      <c r="D12" s="42">
        <f t="shared" ca="1" si="0"/>
        <v>8.116681236108321E-2</v>
      </c>
      <c r="E12" s="33"/>
      <c r="F12" s="73"/>
    </row>
    <row r="13" spans="1:8" x14ac:dyDescent="0.25">
      <c r="A13" s="217" t="s">
        <v>15</v>
      </c>
      <c r="B13" s="76" t="s">
        <v>31</v>
      </c>
      <c r="C13" s="24">
        <f>Parametros!$C$30*(Parametros!C12)</f>
        <v>240</v>
      </c>
      <c r="D13" s="41">
        <f t="shared" ca="1" si="0"/>
        <v>9.8970980365315903E-2</v>
      </c>
      <c r="E13" s="33"/>
      <c r="F13" s="73"/>
    </row>
    <row r="14" spans="1:8" x14ac:dyDescent="0.25">
      <c r="A14" s="219"/>
      <c r="B14" s="19" t="s">
        <v>80</v>
      </c>
      <c r="C14" s="23">
        <f ca="1">SUM(Parametros!$C$55:OFFSET(Parametros!$C$55,Parametros!$C$9-1,0))</f>
        <v>37.127520000000004</v>
      </c>
      <c r="D14" s="42">
        <f t="shared" ca="1" si="0"/>
        <v>1.5310612720553642E-2</v>
      </c>
      <c r="E14" s="33"/>
      <c r="F14" s="73"/>
    </row>
    <row r="15" spans="1:8" x14ac:dyDescent="0.25">
      <c r="A15" s="48"/>
      <c r="B15" s="43" t="s">
        <v>17</v>
      </c>
      <c r="C15" s="44">
        <f ca="1">SUM(C4:C14)</f>
        <v>2424.9532450231977</v>
      </c>
      <c r="D15" s="37"/>
      <c r="E15" s="33"/>
      <c r="F15" s="73"/>
    </row>
    <row r="16" spans="1:8" x14ac:dyDescent="0.25">
      <c r="A16" s="48"/>
      <c r="B16" s="43"/>
      <c r="C16" s="44">
        <f ca="1">C15/Parametros!$C$9</f>
        <v>303.11915562789972</v>
      </c>
      <c r="D16" s="37" t="s">
        <v>88</v>
      </c>
      <c r="E16" s="33"/>
    </row>
    <row r="17" spans="1:8" x14ac:dyDescent="0.25">
      <c r="A17" s="45" t="s">
        <v>81</v>
      </c>
      <c r="B17" s="46" t="s">
        <v>82</v>
      </c>
      <c r="C17" s="119">
        <f>Parametros!C103</f>
        <v>0.52992000000000006</v>
      </c>
      <c r="D17" s="47"/>
      <c r="E17" s="33"/>
    </row>
    <row r="18" spans="1:8" x14ac:dyDescent="0.25">
      <c r="B18" s="78" t="s">
        <v>17</v>
      </c>
      <c r="C18" s="44">
        <f ca="1">C17+C15</f>
        <v>2425.4831650231977</v>
      </c>
      <c r="D18" s="37"/>
      <c r="E18" s="20"/>
      <c r="F18" s="20"/>
    </row>
    <row r="19" spans="1:8" x14ac:dyDescent="0.25">
      <c r="B19" s="78"/>
      <c r="C19" s="44">
        <f ca="1">C18/Parametros!$C$9</f>
        <v>303.18539562789971</v>
      </c>
      <c r="D19" s="37" t="s">
        <v>88</v>
      </c>
      <c r="E19" s="20"/>
      <c r="F19" s="20"/>
    </row>
    <row r="20" spans="1:8" ht="16.5" x14ac:dyDescent="0.3">
      <c r="A20" s="221" t="s">
        <v>83</v>
      </c>
      <c r="B20" s="221"/>
      <c r="C20" s="29">
        <f ca="1">C15</f>
        <v>2424.9532450231977</v>
      </c>
      <c r="D20" s="26"/>
      <c r="E20" s="35"/>
      <c r="F20" s="35"/>
    </row>
    <row r="21" spans="1:8" ht="16.5" x14ac:dyDescent="0.3">
      <c r="A21" s="221" t="s">
        <v>84</v>
      </c>
      <c r="B21" s="221"/>
      <c r="C21" s="27">
        <f ca="1">C20/Parametros!C30</f>
        <v>5.0519859271316622E-2</v>
      </c>
      <c r="D21" s="26"/>
      <c r="E21" s="35"/>
      <c r="F21" s="35"/>
    </row>
    <row r="22" spans="1:8" ht="16.5" x14ac:dyDescent="0.3">
      <c r="A22" s="221" t="s">
        <v>85</v>
      </c>
      <c r="B22" s="221"/>
      <c r="C22" s="26"/>
      <c r="D22" s="27"/>
      <c r="E22" s="35"/>
      <c r="F22" s="36"/>
    </row>
    <row r="23" spans="1:8" ht="16.5" x14ac:dyDescent="0.3">
      <c r="E23" s="35"/>
      <c r="F23" s="20"/>
    </row>
    <row r="24" spans="1:8" ht="16.5" x14ac:dyDescent="0.3">
      <c r="A24" s="221" t="s">
        <v>86</v>
      </c>
      <c r="B24" s="221"/>
      <c r="C24" s="29">
        <f ca="1">C18</f>
        <v>2425.4831650231977</v>
      </c>
      <c r="D24" s="26"/>
      <c r="E24" s="35"/>
      <c r="F24" s="35"/>
    </row>
    <row r="25" spans="1:8" ht="16.5" x14ac:dyDescent="0.3">
      <c r="A25" s="221" t="s">
        <v>87</v>
      </c>
      <c r="B25" s="221"/>
      <c r="C25" s="95">
        <f ca="1">C24/Parametros!C30</f>
        <v>5.0530899271316619E-2</v>
      </c>
      <c r="D25" s="74"/>
      <c r="E25" s="35"/>
      <c r="F25" s="35"/>
    </row>
    <row r="26" spans="1:8" ht="16.5" x14ac:dyDescent="0.3">
      <c r="A26" s="221" t="s">
        <v>85</v>
      </c>
      <c r="B26" s="221"/>
      <c r="C26" s="26"/>
      <c r="D26" s="27"/>
      <c r="E26" s="36"/>
      <c r="F26" s="36"/>
    </row>
    <row r="28" spans="1:8" ht="16.5" x14ac:dyDescent="0.3">
      <c r="A28" s="221" t="s">
        <v>125</v>
      </c>
      <c r="B28" s="221"/>
      <c r="C28" s="70">
        <v>0</v>
      </c>
      <c r="D28" s="26"/>
    </row>
    <row r="30" spans="1:8" x14ac:dyDescent="0.25">
      <c r="A30" s="220" t="s">
        <v>89</v>
      </c>
      <c r="B30" s="220"/>
      <c r="C30" s="220"/>
      <c r="D30" s="220"/>
      <c r="E30" s="220"/>
      <c r="F30" s="220"/>
      <c r="G30" s="34"/>
      <c r="H30" s="34"/>
    </row>
    <row r="31" spans="1:8" x14ac:dyDescent="0.25">
      <c r="C31" s="25" t="s">
        <v>100</v>
      </c>
    </row>
    <row r="32" spans="1:8" ht="14.25" thickBot="1" x14ac:dyDescent="0.3">
      <c r="B32" s="17"/>
      <c r="C32" s="20"/>
      <c r="E32" s="4">
        <v>2021</v>
      </c>
      <c r="F32" s="4" t="s">
        <v>18</v>
      </c>
    </row>
    <row r="33" spans="1:6" x14ac:dyDescent="0.25">
      <c r="A33" s="217" t="s">
        <v>13</v>
      </c>
      <c r="B33" s="18" t="s">
        <v>126</v>
      </c>
      <c r="C33" s="120">
        <f>C4/Parametros!$C$30</f>
        <v>2.7083333333333334E-2</v>
      </c>
      <c r="E33" s="14" t="s">
        <v>90</v>
      </c>
      <c r="F33" s="37">
        <f>SUM(C4:C7)</f>
        <v>1665</v>
      </c>
    </row>
    <row r="34" spans="1:6" x14ac:dyDescent="0.25">
      <c r="A34" s="218"/>
      <c r="B34" s="21" t="s">
        <v>39</v>
      </c>
      <c r="C34" s="121">
        <f>C5/Parametros!$C$30</f>
        <v>0</v>
      </c>
      <c r="E34" s="14" t="s">
        <v>91</v>
      </c>
      <c r="F34" s="37">
        <f>F33-F35</f>
        <v>1255.5</v>
      </c>
    </row>
    <row r="35" spans="1:6" x14ac:dyDescent="0.25">
      <c r="A35" s="219"/>
      <c r="B35" s="19" t="s">
        <v>78</v>
      </c>
      <c r="C35" s="121">
        <f>C6/Parametros!$C$30</f>
        <v>6.2500000000000003E-3</v>
      </c>
      <c r="E35" s="14" t="s">
        <v>29</v>
      </c>
      <c r="F35" s="71">
        <f>(1-Parametros!$C$39)*(C4+C7)+C5</f>
        <v>409.50000000000006</v>
      </c>
    </row>
    <row r="36" spans="1:6" x14ac:dyDescent="0.25">
      <c r="A36" s="217" t="s">
        <v>14</v>
      </c>
      <c r="B36" s="18" t="s">
        <v>61</v>
      </c>
      <c r="C36" s="122">
        <f>C7/Parametros!$C$30</f>
        <v>1.3541666666666667E-3</v>
      </c>
    </row>
    <row r="37" spans="1:6" x14ac:dyDescent="0.25">
      <c r="A37" s="218"/>
      <c r="B37" s="76" t="s">
        <v>25</v>
      </c>
      <c r="C37" s="121">
        <f>C8/Parametros!$C$30</f>
        <v>0</v>
      </c>
    </row>
    <row r="38" spans="1:6" x14ac:dyDescent="0.25">
      <c r="A38" s="218"/>
      <c r="B38" s="76" t="s">
        <v>62</v>
      </c>
      <c r="C38" s="121">
        <f>C9/Parametros!$C$30</f>
        <v>5.9583333333333337E-3</v>
      </c>
    </row>
    <row r="39" spans="1:6" x14ac:dyDescent="0.25">
      <c r="A39" s="218"/>
      <c r="B39" s="76" t="s">
        <v>24</v>
      </c>
      <c r="C39" s="121">
        <f>C10/Parametros!$C$30</f>
        <v>0</v>
      </c>
    </row>
    <row r="40" spans="1:6" x14ac:dyDescent="0.25">
      <c r="A40" s="218"/>
      <c r="B40" s="76" t="s">
        <v>98</v>
      </c>
      <c r="C40" s="121">
        <f>C11/Parametros!$C$30</f>
        <v>0</v>
      </c>
    </row>
    <row r="41" spans="1:6" x14ac:dyDescent="0.25">
      <c r="A41" s="219"/>
      <c r="B41" s="19" t="s">
        <v>79</v>
      </c>
      <c r="C41" s="121">
        <f>C12/Parametros!$C$30</f>
        <v>4.1005359379832854E-3</v>
      </c>
    </row>
    <row r="42" spans="1:6" x14ac:dyDescent="0.25">
      <c r="A42" s="217" t="s">
        <v>15</v>
      </c>
      <c r="B42" s="76" t="s">
        <v>31</v>
      </c>
      <c r="C42" s="122">
        <f>C13/Parametros!$C$30</f>
        <v>5.0000000000000001E-3</v>
      </c>
    </row>
    <row r="43" spans="1:6" ht="14.25" thickBot="1" x14ac:dyDescent="0.3">
      <c r="A43" s="219"/>
      <c r="B43" s="19" t="s">
        <v>80</v>
      </c>
      <c r="C43" s="123">
        <f ca="1">C14/Parametros!$C$30</f>
        <v>7.7349000000000005E-4</v>
      </c>
    </row>
    <row r="44" spans="1:6" x14ac:dyDescent="0.25">
      <c r="A44" s="45" t="s">
        <v>81</v>
      </c>
      <c r="B44" s="46" t="s">
        <v>82</v>
      </c>
      <c r="C44" s="124">
        <f>C17/Parametros!$C$30</f>
        <v>1.1040000000000001E-5</v>
      </c>
    </row>
    <row r="87" spans="1:19" s="38" customFormat="1" x14ac:dyDescent="0.25">
      <c r="A87" s="39" t="s">
        <v>45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20" t="s">
        <v>76</v>
      </c>
      <c r="B88" s="220"/>
      <c r="C88" s="220"/>
      <c r="D88" s="220"/>
      <c r="E88" s="220"/>
      <c r="F88" s="220"/>
      <c r="G88" s="34"/>
      <c r="H88" s="34"/>
    </row>
    <row r="89" spans="1:19" ht="27" x14ac:dyDescent="0.25">
      <c r="C89" s="96" t="s">
        <v>101</v>
      </c>
      <c r="D89" s="96" t="s">
        <v>102</v>
      </c>
      <c r="G89" s="32"/>
      <c r="H89" s="32"/>
    </row>
    <row r="90" spans="1:19" ht="14.25" thickBot="1" x14ac:dyDescent="0.3">
      <c r="B90" s="17"/>
      <c r="C90" s="20"/>
      <c r="D90" s="20"/>
      <c r="G90" s="20"/>
      <c r="H90" s="20"/>
    </row>
    <row r="91" spans="1:19" x14ac:dyDescent="0.25">
      <c r="A91" s="217" t="s">
        <v>13</v>
      </c>
      <c r="B91" s="18" t="s">
        <v>22</v>
      </c>
      <c r="C91" s="28">
        <f>C4</f>
        <v>1300</v>
      </c>
      <c r="D91" s="28">
        <f>C91</f>
        <v>1300</v>
      </c>
      <c r="G91" s="33"/>
      <c r="H91" s="33"/>
    </row>
    <row r="92" spans="1:19" x14ac:dyDescent="0.25">
      <c r="A92" s="218"/>
      <c r="B92" s="21" t="s">
        <v>39</v>
      </c>
      <c r="C92" s="22">
        <f>C5</f>
        <v>0</v>
      </c>
      <c r="D92" s="22">
        <f>C92</f>
        <v>0</v>
      </c>
      <c r="G92" s="33"/>
      <c r="H92" s="33"/>
    </row>
    <row r="93" spans="1:19" x14ac:dyDescent="0.25">
      <c r="A93" s="219"/>
      <c r="B93" s="19" t="s">
        <v>78</v>
      </c>
      <c r="C93" s="22">
        <f>Parametros!$C$18*Parametros!$C$8*(1-Parametros!$C$23)</f>
        <v>300</v>
      </c>
      <c r="D93" s="22">
        <f>Parametros!$C$18*Parametros!$C$8*(1-Parametros!$C$23)</f>
        <v>300</v>
      </c>
      <c r="G93" s="33"/>
      <c r="H93" s="33"/>
    </row>
    <row r="94" spans="1:19" x14ac:dyDescent="0.25">
      <c r="A94" s="217" t="s">
        <v>14</v>
      </c>
      <c r="B94" s="18" t="s">
        <v>61</v>
      </c>
      <c r="C94" s="24">
        <f t="shared" ref="C94:C99" si="1">C7</f>
        <v>65</v>
      </c>
      <c r="D94" s="50">
        <f t="shared" ref="D94:D99" si="2">C94</f>
        <v>65</v>
      </c>
      <c r="G94" s="33"/>
      <c r="H94" s="33"/>
    </row>
    <row r="95" spans="1:19" x14ac:dyDescent="0.25">
      <c r="A95" s="218"/>
      <c r="B95" s="76" t="s">
        <v>25</v>
      </c>
      <c r="C95" s="22">
        <f t="shared" si="1"/>
        <v>0</v>
      </c>
      <c r="D95" s="51">
        <f t="shared" si="2"/>
        <v>0</v>
      </c>
      <c r="G95" s="33"/>
      <c r="H95" s="33"/>
    </row>
    <row r="96" spans="1:19" x14ac:dyDescent="0.25">
      <c r="A96" s="218"/>
      <c r="B96" s="76" t="s">
        <v>62</v>
      </c>
      <c r="C96" s="22">
        <f t="shared" si="1"/>
        <v>286</v>
      </c>
      <c r="D96" s="51">
        <f t="shared" ref="D96:D98" si="3">C96</f>
        <v>286</v>
      </c>
      <c r="G96" s="33"/>
      <c r="H96" s="33"/>
    </row>
    <row r="97" spans="1:8" x14ac:dyDescent="0.25">
      <c r="A97" s="218"/>
      <c r="B97" s="76" t="s">
        <v>24</v>
      </c>
      <c r="C97" s="22">
        <f t="shared" si="1"/>
        <v>0</v>
      </c>
      <c r="D97" s="51">
        <f t="shared" si="3"/>
        <v>0</v>
      </c>
      <c r="G97" s="33"/>
      <c r="H97" s="33"/>
    </row>
    <row r="98" spans="1:8" x14ac:dyDescent="0.25">
      <c r="A98" s="218"/>
      <c r="B98" s="76" t="s">
        <v>98</v>
      </c>
      <c r="C98" s="22">
        <f t="shared" si="1"/>
        <v>0</v>
      </c>
      <c r="D98" s="51">
        <f t="shared" si="3"/>
        <v>0</v>
      </c>
      <c r="G98" s="33"/>
      <c r="H98" s="33"/>
    </row>
    <row r="99" spans="1:8" x14ac:dyDescent="0.25">
      <c r="A99" s="219"/>
      <c r="B99" s="19" t="s">
        <v>79</v>
      </c>
      <c r="C99" s="23">
        <f t="shared" si="1"/>
        <v>196.82572502319772</v>
      </c>
      <c r="D99" s="52">
        <f t="shared" si="2"/>
        <v>196.82572502319772</v>
      </c>
      <c r="G99" s="33"/>
      <c r="H99" s="33"/>
    </row>
    <row r="100" spans="1:8" x14ac:dyDescent="0.25">
      <c r="A100" s="217" t="s">
        <v>15</v>
      </c>
      <c r="B100" s="76" t="s">
        <v>31</v>
      </c>
      <c r="C100" s="62">
        <f>Parametros!$H$30*(Parametros!C12)</f>
        <v>400</v>
      </c>
      <c r="D100" s="62">
        <f>Parametros!$I$30*(Parametros!C12)</f>
        <v>120</v>
      </c>
      <c r="G100" s="33"/>
      <c r="H100" s="33"/>
    </row>
    <row r="101" spans="1:8" x14ac:dyDescent="0.25">
      <c r="A101" s="219"/>
      <c r="B101" s="19" t="s">
        <v>80</v>
      </c>
      <c r="C101" s="66">
        <f ca="1">SUM(Parametros!$F$55:OFFSET(Parametros!$F$55,Parametros!$C$9-1,0))</f>
        <v>61.879200000000012</v>
      </c>
      <c r="D101" s="66">
        <f ca="1">SUM(Parametros!$G$55:OFFSET(Parametros!$G$55,Parametros!$C$9-1,0))</f>
        <v>18.563760000000002</v>
      </c>
      <c r="G101" s="33"/>
      <c r="H101" s="33"/>
    </row>
    <row r="102" spans="1:8" x14ac:dyDescent="0.25">
      <c r="A102" s="45" t="s">
        <v>81</v>
      </c>
      <c r="B102" s="46" t="s">
        <v>82</v>
      </c>
      <c r="C102" s="117">
        <f>Parametros!$F$102</f>
        <v>0.88320000000000021</v>
      </c>
      <c r="D102" s="118">
        <f>Parametros!$G$102</f>
        <v>0.26496000000000008</v>
      </c>
      <c r="G102" s="33"/>
      <c r="H102" s="33"/>
    </row>
    <row r="103" spans="1:8" x14ac:dyDescent="0.25">
      <c r="C103" s="37">
        <f ca="1">SUM(C91:C102)</f>
        <v>2610.5881250231978</v>
      </c>
      <c r="G103" s="20"/>
      <c r="H103" s="20"/>
    </row>
    <row r="104" spans="1:8" ht="16.5" x14ac:dyDescent="0.3">
      <c r="A104" s="221" t="s">
        <v>83</v>
      </c>
      <c r="B104" s="221"/>
      <c r="C104" s="29">
        <f ca="1">SUM(C91:C101)</f>
        <v>2609.7049250231976</v>
      </c>
      <c r="D104" s="29">
        <f ca="1">SUM(D91:D101)</f>
        <v>2286.3894850231977</v>
      </c>
      <c r="G104" s="35"/>
      <c r="H104" s="35"/>
    </row>
    <row r="105" spans="1:8" ht="16.5" x14ac:dyDescent="0.3">
      <c r="A105" s="221" t="s">
        <v>84</v>
      </c>
      <c r="B105" s="221"/>
      <c r="C105" s="30">
        <f ca="1">C104/Parametros!$H$30</f>
        <v>3.2621311562789967E-2</v>
      </c>
      <c r="D105" s="30">
        <f ca="1">D104/Parametros!$I$30</f>
        <v>9.5266228542633238E-2</v>
      </c>
      <c r="G105" s="35"/>
      <c r="H105" s="35"/>
    </row>
    <row r="106" spans="1:8" ht="16.5" x14ac:dyDescent="0.3">
      <c r="A106" s="221" t="s">
        <v>85</v>
      </c>
      <c r="B106" s="221"/>
      <c r="C106" s="26"/>
      <c r="D106" s="27"/>
      <c r="G106" s="36"/>
      <c r="H106" s="36"/>
    </row>
    <row r="107" spans="1:8" x14ac:dyDescent="0.25">
      <c r="G107" s="20"/>
      <c r="H107" s="20"/>
    </row>
    <row r="108" spans="1:8" ht="16.5" x14ac:dyDescent="0.3">
      <c r="A108" s="221" t="s">
        <v>86</v>
      </c>
      <c r="B108" s="221"/>
      <c r="C108" s="29">
        <f ca="1">SUM(C91:C102)</f>
        <v>2610.5881250231978</v>
      </c>
      <c r="D108" s="29">
        <f ca="1">SUM(D91:D102)</f>
        <v>2286.6544450231977</v>
      </c>
      <c r="G108" s="35"/>
      <c r="H108" s="35"/>
    </row>
    <row r="109" spans="1:8" ht="16.5" x14ac:dyDescent="0.3">
      <c r="A109" s="221" t="s">
        <v>87</v>
      </c>
      <c r="B109" s="221"/>
      <c r="C109" s="31">
        <f ca="1">C108/Parametros!$H$30</f>
        <v>3.2632351562789971E-2</v>
      </c>
      <c r="D109" s="31">
        <f ca="1">D108/Parametros!$I$30</f>
        <v>9.5277268542633242E-2</v>
      </c>
      <c r="G109" s="35"/>
      <c r="H109" s="35"/>
    </row>
    <row r="110" spans="1:8" ht="16.5" x14ac:dyDescent="0.3">
      <c r="A110" s="221" t="s">
        <v>85</v>
      </c>
      <c r="B110" s="221"/>
      <c r="C110" s="26"/>
      <c r="D110" s="27"/>
      <c r="G110" s="36"/>
      <c r="H110" s="36"/>
    </row>
    <row r="112" spans="1:8" x14ac:dyDescent="0.25">
      <c r="A112" s="220" t="s">
        <v>89</v>
      </c>
      <c r="B112" s="220"/>
      <c r="C112" s="220"/>
      <c r="D112" s="220"/>
      <c r="E112" s="220"/>
      <c r="F112" s="220"/>
      <c r="G112" s="34"/>
      <c r="H112" s="34"/>
    </row>
    <row r="113" spans="1:5" ht="27" x14ac:dyDescent="0.25">
      <c r="C113" s="96" t="s">
        <v>103</v>
      </c>
      <c r="D113" s="96" t="s">
        <v>95</v>
      </c>
      <c r="E113" s="96" t="s">
        <v>96</v>
      </c>
    </row>
    <row r="114" spans="1:5" ht="14.25" thickBot="1" x14ac:dyDescent="0.3">
      <c r="B114" s="17"/>
      <c r="C114" s="20"/>
      <c r="D114" s="20"/>
      <c r="E114" s="20"/>
    </row>
    <row r="115" spans="1:5" x14ac:dyDescent="0.25">
      <c r="A115" s="217" t="s">
        <v>13</v>
      </c>
      <c r="B115" s="18" t="s">
        <v>22</v>
      </c>
      <c r="C115" s="53">
        <f t="shared" ref="C115:C126" si="4">C33</f>
        <v>2.7083333333333334E-2</v>
      </c>
      <c r="D115" s="53">
        <f>C91/Parametros!$H$30</f>
        <v>1.6250000000000001E-2</v>
      </c>
      <c r="E115" s="53">
        <f>D91/Parametros!$I$30</f>
        <v>5.4166666666666669E-2</v>
      </c>
    </row>
    <row r="116" spans="1:5" x14ac:dyDescent="0.25">
      <c r="A116" s="218"/>
      <c r="B116" s="21" t="s">
        <v>39</v>
      </c>
      <c r="C116" s="54">
        <f t="shared" si="4"/>
        <v>0</v>
      </c>
      <c r="D116" s="54">
        <f>C92/Parametros!$H$30</f>
        <v>0</v>
      </c>
      <c r="E116" s="54">
        <f>D92/Parametros!$I$30</f>
        <v>0</v>
      </c>
    </row>
    <row r="117" spans="1:5" x14ac:dyDescent="0.25">
      <c r="A117" s="219"/>
      <c r="B117" s="19" t="s">
        <v>78</v>
      </c>
      <c r="C117" s="54">
        <f t="shared" si="4"/>
        <v>6.2500000000000003E-3</v>
      </c>
      <c r="D117" s="54">
        <f>C93/Parametros!$H$30</f>
        <v>3.7499999999999999E-3</v>
      </c>
      <c r="E117" s="54">
        <f>D93/Parametros!$I$30</f>
        <v>1.2500000000000001E-2</v>
      </c>
    </row>
    <row r="118" spans="1:5" x14ac:dyDescent="0.25">
      <c r="A118" s="217" t="s">
        <v>14</v>
      </c>
      <c r="B118" s="18" t="s">
        <v>61</v>
      </c>
      <c r="C118" s="56">
        <f t="shared" si="4"/>
        <v>1.3541666666666667E-3</v>
      </c>
      <c r="D118" s="56">
        <f>C94/Parametros!$H$30</f>
        <v>8.1249999999999996E-4</v>
      </c>
      <c r="E118" s="56">
        <f>D94/Parametros!$I$30</f>
        <v>2.7083333333333334E-3</v>
      </c>
    </row>
    <row r="119" spans="1:5" x14ac:dyDescent="0.25">
      <c r="A119" s="218"/>
      <c r="B119" s="76" t="s">
        <v>25</v>
      </c>
      <c r="C119" s="54">
        <f t="shared" si="4"/>
        <v>0</v>
      </c>
      <c r="D119" s="54">
        <f>C95/Parametros!$H$30</f>
        <v>0</v>
      </c>
      <c r="E119" s="54">
        <f>D95/Parametros!$I$30</f>
        <v>0</v>
      </c>
    </row>
    <row r="120" spans="1:5" x14ac:dyDescent="0.25">
      <c r="A120" s="218"/>
      <c r="B120" s="76" t="s">
        <v>62</v>
      </c>
      <c r="C120" s="54">
        <f t="shared" si="4"/>
        <v>5.9583333333333337E-3</v>
      </c>
      <c r="D120" s="54">
        <f>C96/Parametros!$H$30</f>
        <v>3.5750000000000001E-3</v>
      </c>
      <c r="E120" s="54">
        <f>D96/Parametros!$I$30</f>
        <v>1.1916666666666667E-2</v>
      </c>
    </row>
    <row r="121" spans="1:5" x14ac:dyDescent="0.25">
      <c r="A121" s="218"/>
      <c r="B121" s="76" t="s">
        <v>24</v>
      </c>
      <c r="C121" s="54">
        <f t="shared" si="4"/>
        <v>0</v>
      </c>
      <c r="D121" s="54">
        <f>C97/Parametros!$H$30</f>
        <v>0</v>
      </c>
      <c r="E121" s="54">
        <f>D97/Parametros!$I$30</f>
        <v>0</v>
      </c>
    </row>
    <row r="122" spans="1:5" x14ac:dyDescent="0.25">
      <c r="A122" s="218"/>
      <c r="B122" s="76" t="s">
        <v>98</v>
      </c>
      <c r="C122" s="54">
        <f t="shared" si="4"/>
        <v>0</v>
      </c>
      <c r="D122" s="54">
        <f>C98/Parametros!$H$30</f>
        <v>0</v>
      </c>
      <c r="E122" s="54">
        <f>D98/Parametros!$I$30</f>
        <v>0</v>
      </c>
    </row>
    <row r="123" spans="1:5" x14ac:dyDescent="0.25">
      <c r="A123" s="219"/>
      <c r="B123" s="19" t="s">
        <v>79</v>
      </c>
      <c r="C123" s="55">
        <f t="shared" si="4"/>
        <v>4.1005359379832854E-3</v>
      </c>
      <c r="D123" s="55">
        <f>C99/Parametros!$H$30</f>
        <v>2.4603215627899714E-3</v>
      </c>
      <c r="E123" s="55">
        <f>D99/Parametros!$I$30</f>
        <v>8.2010718759665709E-3</v>
      </c>
    </row>
    <row r="124" spans="1:5" x14ac:dyDescent="0.25">
      <c r="A124" s="217" t="s">
        <v>15</v>
      </c>
      <c r="B124" s="76" t="s">
        <v>31</v>
      </c>
      <c r="C124" s="54">
        <f t="shared" si="4"/>
        <v>5.0000000000000001E-3</v>
      </c>
      <c r="D124" s="54">
        <f>C100/Parametros!$H$30</f>
        <v>5.0000000000000001E-3</v>
      </c>
      <c r="E124" s="54">
        <f>D100/Parametros!$I$30</f>
        <v>5.0000000000000001E-3</v>
      </c>
    </row>
    <row r="125" spans="1:5" ht="14.25" thickBot="1" x14ac:dyDescent="0.3">
      <c r="A125" s="219"/>
      <c r="B125" s="19" t="s">
        <v>80</v>
      </c>
      <c r="C125" s="57">
        <f t="shared" ca="1" si="4"/>
        <v>7.7349000000000005E-4</v>
      </c>
      <c r="D125" s="57">
        <f ca="1">C101/Parametros!$H$30</f>
        <v>7.7349000000000016E-4</v>
      </c>
      <c r="E125" s="57">
        <f ca="1">D101/Parametros!$I$30</f>
        <v>7.7349000000000005E-4</v>
      </c>
    </row>
    <row r="126" spans="1:5" x14ac:dyDescent="0.25">
      <c r="A126" s="45" t="s">
        <v>81</v>
      </c>
      <c r="B126" s="46" t="s">
        <v>82</v>
      </c>
      <c r="C126" s="54">
        <f t="shared" si="4"/>
        <v>1.1040000000000001E-5</v>
      </c>
      <c r="D126" s="54">
        <f>C102/Parametros!$H$30</f>
        <v>1.1040000000000003E-5</v>
      </c>
      <c r="E126" s="54">
        <f>D102/Parametros!$I$30</f>
        <v>1.1040000000000003E-5</v>
      </c>
    </row>
    <row r="127" spans="1:5" x14ac:dyDescent="0.25">
      <c r="B127" s="58" t="s">
        <v>19</v>
      </c>
      <c r="C127" s="59">
        <f ca="1">SUM(C115:C126)</f>
        <v>5.0530899271316612E-2</v>
      </c>
      <c r="D127" s="59">
        <f t="shared" ref="D127:E127" ca="1" si="5">SUM(D115:D126)</f>
        <v>3.2632351562789971E-2</v>
      </c>
      <c r="E127" s="59">
        <f t="shared" ca="1" si="5"/>
        <v>9.5277268542633242E-2</v>
      </c>
    </row>
    <row r="129" spans="2:7" x14ac:dyDescent="0.25">
      <c r="C129" s="25" t="s">
        <v>100</v>
      </c>
      <c r="D129" s="25" t="s">
        <v>18</v>
      </c>
    </row>
    <row r="130" spans="2:7" x14ac:dyDescent="0.25">
      <c r="B130" s="60">
        <f>Parametros!I29</f>
        <v>3000</v>
      </c>
      <c r="C130" s="59">
        <f ca="1">E127</f>
        <v>9.5277268542633242E-2</v>
      </c>
      <c r="D130" s="61">
        <f ca="1">C130/$C$131-1</f>
        <v>0.88552489499660436</v>
      </c>
    </row>
    <row r="131" spans="2:7" x14ac:dyDescent="0.25">
      <c r="B131" s="60">
        <f>Parametros!C29</f>
        <v>6000</v>
      </c>
      <c r="C131" s="59">
        <f ca="1">C127</f>
        <v>5.0530899271316612E-2</v>
      </c>
      <c r="D131" s="61">
        <f ca="1">C131/$C$131-1</f>
        <v>0</v>
      </c>
    </row>
    <row r="132" spans="2:7" x14ac:dyDescent="0.25">
      <c r="B132" s="60">
        <f>Parametros!H29</f>
        <v>10000</v>
      </c>
      <c r="C132" s="59">
        <f ca="1">D127</f>
        <v>3.2632351562789971E-2</v>
      </c>
      <c r="D132" s="61">
        <f ca="1">C132/$C$131-1</f>
        <v>-0.35420995799864152</v>
      </c>
    </row>
    <row r="133" spans="2:7" x14ac:dyDescent="0.25">
      <c r="B133" s="61"/>
      <c r="C133" s="61"/>
      <c r="D133" s="61"/>
      <c r="E133" s="61"/>
      <c r="F133" s="61"/>
      <c r="G133" s="61"/>
    </row>
    <row r="134" spans="2:7" x14ac:dyDescent="0.25">
      <c r="B134" s="61"/>
      <c r="C134" s="61"/>
      <c r="D134" s="61"/>
      <c r="E134" s="61"/>
      <c r="F134" s="61"/>
      <c r="G134" s="61"/>
    </row>
    <row r="135" spans="2:7" x14ac:dyDescent="0.25">
      <c r="B135" s="61"/>
      <c r="C135" s="61"/>
      <c r="D135" s="61"/>
      <c r="E135" s="61"/>
      <c r="F135" s="61"/>
      <c r="G135" s="61"/>
    </row>
    <row r="136" spans="2:7" x14ac:dyDescent="0.25">
      <c r="B136" s="61"/>
      <c r="C136" s="61"/>
      <c r="D136" s="61"/>
      <c r="E136" s="61"/>
      <c r="F136" s="61"/>
      <c r="G136" s="61"/>
    </row>
    <row r="137" spans="2:7" x14ac:dyDescent="0.25">
      <c r="B137" s="61"/>
      <c r="C137" s="61"/>
      <c r="D137" s="61"/>
      <c r="E137" s="61"/>
      <c r="F137" s="61"/>
      <c r="G137" s="61"/>
    </row>
    <row r="138" spans="2:7" x14ac:dyDescent="0.25">
      <c r="B138" s="61"/>
      <c r="C138" s="61"/>
      <c r="D138" s="61"/>
      <c r="E138" s="61"/>
      <c r="F138" s="61"/>
      <c r="G138" s="61"/>
    </row>
    <row r="154" spans="3:6" ht="14.25" x14ac:dyDescent="0.25">
      <c r="C154" s="222" t="s">
        <v>107</v>
      </c>
      <c r="D154" s="224" t="s">
        <v>108</v>
      </c>
      <c r="E154" s="226" t="s">
        <v>127</v>
      </c>
      <c r="F154" s="226"/>
    </row>
    <row r="155" spans="3:6" ht="14.25" x14ac:dyDescent="0.25">
      <c r="C155" s="223"/>
      <c r="D155" s="225"/>
      <c r="E155" s="102" t="s">
        <v>1</v>
      </c>
      <c r="F155" s="102" t="s">
        <v>2</v>
      </c>
    </row>
    <row r="156" spans="3:6" ht="16.5" x14ac:dyDescent="0.3">
      <c r="C156" s="109" t="s">
        <v>109</v>
      </c>
      <c r="D156" s="109">
        <f>B130</f>
        <v>3000</v>
      </c>
      <c r="E156" s="110">
        <f ca="1">F156*D156*Parametros!$C$9</f>
        <v>2286.6544450231977</v>
      </c>
      <c r="F156" s="111">
        <f ca="1">C130</f>
        <v>9.5277268542633242E-2</v>
      </c>
    </row>
    <row r="157" spans="3:6" ht="16.5" x14ac:dyDescent="0.3">
      <c r="C157" s="106" t="s">
        <v>110</v>
      </c>
      <c r="D157" s="106">
        <f>B131</f>
        <v>6000</v>
      </c>
      <c r="E157" s="107">
        <f ca="1">F157*D157*Parametros!$C$9</f>
        <v>2425.4831650231972</v>
      </c>
      <c r="F157" s="108">
        <f ca="1">C131</f>
        <v>5.0530899271316612E-2</v>
      </c>
    </row>
    <row r="158" spans="3:6" ht="16.5" x14ac:dyDescent="0.3">
      <c r="C158" s="103" t="s">
        <v>111</v>
      </c>
      <c r="D158" s="103">
        <f>B132</f>
        <v>10000</v>
      </c>
      <c r="E158" s="104">
        <f ca="1">F158*D158*Parametros!$C$9</f>
        <v>2610.5881250231978</v>
      </c>
      <c r="F158" s="105">
        <f ca="1">C132</f>
        <v>3.2632351562789971E-2</v>
      </c>
    </row>
  </sheetData>
  <mergeCells count="32">
    <mergeCell ref="A30:F30"/>
    <mergeCell ref="A28:B28"/>
    <mergeCell ref="A110:B110"/>
    <mergeCell ref="C154:C155"/>
    <mergeCell ref="D154:D155"/>
    <mergeCell ref="E154:F154"/>
    <mergeCell ref="A104:B104"/>
    <mergeCell ref="A105:B105"/>
    <mergeCell ref="A106:B106"/>
    <mergeCell ref="A88:F88"/>
    <mergeCell ref="A91:A93"/>
    <mergeCell ref="A94:A99"/>
    <mergeCell ref="A100:A101"/>
    <mergeCell ref="A33:A35"/>
    <mergeCell ref="A124:A125"/>
    <mergeCell ref="A36:A41"/>
    <mergeCell ref="A1:F1"/>
    <mergeCell ref="A7:A12"/>
    <mergeCell ref="A13:A14"/>
    <mergeCell ref="A4:A6"/>
    <mergeCell ref="A26:B26"/>
    <mergeCell ref="A20:B20"/>
    <mergeCell ref="A21:B21"/>
    <mergeCell ref="A22:B22"/>
    <mergeCell ref="A24:B24"/>
    <mergeCell ref="A25:B25"/>
    <mergeCell ref="A118:A123"/>
    <mergeCell ref="A42:A43"/>
    <mergeCell ref="A112:F112"/>
    <mergeCell ref="A108:B108"/>
    <mergeCell ref="A109:B109"/>
    <mergeCell ref="A115:A1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5EB5-FC51-4434-A1D4-5C2A20FD7E46}">
  <dimension ref="A1:AU88"/>
  <sheetViews>
    <sheetView workbookViewId="0">
      <selection sqref="A1:B1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28" t="s">
        <v>148</v>
      </c>
      <c r="B1" s="228"/>
      <c r="C1" s="150"/>
      <c r="D1" s="151"/>
      <c r="E1" s="150"/>
      <c r="F1" s="150"/>
      <c r="G1" s="152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18.75" x14ac:dyDescent="0.3">
      <c r="A2" s="153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6" ht="15" x14ac:dyDescent="0.25">
      <c r="A3" s="229" t="s">
        <v>141</v>
      </c>
      <c r="B3" s="229"/>
      <c r="C3" s="155">
        <v>0</v>
      </c>
    </row>
    <row r="4" spans="1:36" ht="15" x14ac:dyDescent="0.25">
      <c r="A4" s="230" t="s">
        <v>149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156"/>
    </row>
    <row r="5" spans="1:36" ht="15" x14ac:dyDescent="0.25">
      <c r="A5" s="149"/>
      <c r="E5" s="157">
        <v>0</v>
      </c>
      <c r="F5" s="157">
        <v>1</v>
      </c>
      <c r="G5" s="157">
        <v>2</v>
      </c>
      <c r="H5" s="157">
        <v>3</v>
      </c>
      <c r="I5" s="157">
        <v>4</v>
      </c>
      <c r="J5" s="157">
        <v>5</v>
      </c>
      <c r="K5" s="157">
        <v>6</v>
      </c>
      <c r="L5" s="157">
        <v>7</v>
      </c>
      <c r="M5" s="157">
        <v>8</v>
      </c>
      <c r="N5" s="157">
        <v>9</v>
      </c>
      <c r="O5" s="157">
        <v>10</v>
      </c>
      <c r="P5" s="157">
        <v>11</v>
      </c>
      <c r="Q5" s="157">
        <v>12</v>
      </c>
      <c r="R5" s="157">
        <v>13</v>
      </c>
      <c r="S5" s="157">
        <v>14</v>
      </c>
      <c r="T5" s="157">
        <v>15</v>
      </c>
      <c r="U5" s="157">
        <v>16</v>
      </c>
      <c r="V5" s="157">
        <v>17</v>
      </c>
      <c r="W5" s="157">
        <v>18</v>
      </c>
      <c r="X5" s="157">
        <v>19</v>
      </c>
      <c r="Y5" s="157">
        <v>20</v>
      </c>
      <c r="Z5" s="157">
        <v>21</v>
      </c>
      <c r="AA5" s="157">
        <v>22</v>
      </c>
      <c r="AB5" s="157">
        <v>23</v>
      </c>
      <c r="AC5" s="157">
        <v>24</v>
      </c>
      <c r="AD5" s="157">
        <v>25</v>
      </c>
      <c r="AE5" s="157">
        <v>26</v>
      </c>
      <c r="AF5" s="157">
        <v>27</v>
      </c>
      <c r="AG5" s="157">
        <v>28</v>
      </c>
      <c r="AJ5" s="158"/>
    </row>
    <row r="6" spans="1:36" ht="15" x14ac:dyDescent="0.25">
      <c r="A6" s="231" t="s">
        <v>142</v>
      </c>
      <c r="B6" s="231"/>
      <c r="C6" s="156" t="s">
        <v>1</v>
      </c>
      <c r="E6" s="159">
        <v>2022</v>
      </c>
      <c r="F6" s="159">
        <f>+E6+1</f>
        <v>2023</v>
      </c>
      <c r="G6" s="160">
        <f t="shared" ref="G6:AG6" si="0">+F6+1</f>
        <v>2024</v>
      </c>
      <c r="H6" s="160">
        <f t="shared" si="0"/>
        <v>2025</v>
      </c>
      <c r="I6" s="160">
        <f t="shared" si="0"/>
        <v>2026</v>
      </c>
      <c r="J6" s="160">
        <f t="shared" si="0"/>
        <v>2027</v>
      </c>
      <c r="K6" s="160">
        <f t="shared" si="0"/>
        <v>2028</v>
      </c>
      <c r="L6" s="160">
        <f t="shared" si="0"/>
        <v>2029</v>
      </c>
      <c r="M6" s="160">
        <f t="shared" si="0"/>
        <v>2030</v>
      </c>
      <c r="N6" s="160">
        <f t="shared" si="0"/>
        <v>2031</v>
      </c>
      <c r="O6" s="160">
        <f t="shared" si="0"/>
        <v>2032</v>
      </c>
      <c r="P6" s="160">
        <f t="shared" si="0"/>
        <v>2033</v>
      </c>
      <c r="Q6" s="160">
        <f t="shared" si="0"/>
        <v>2034</v>
      </c>
      <c r="R6" s="160">
        <f t="shared" si="0"/>
        <v>2035</v>
      </c>
      <c r="S6" s="160">
        <f t="shared" si="0"/>
        <v>2036</v>
      </c>
      <c r="T6" s="160">
        <f t="shared" si="0"/>
        <v>2037</v>
      </c>
      <c r="U6" s="160">
        <f t="shared" si="0"/>
        <v>2038</v>
      </c>
      <c r="V6" s="160">
        <f t="shared" si="0"/>
        <v>2039</v>
      </c>
      <c r="W6" s="160">
        <f t="shared" si="0"/>
        <v>2040</v>
      </c>
      <c r="X6" s="160">
        <f t="shared" si="0"/>
        <v>2041</v>
      </c>
      <c r="Y6" s="160">
        <f t="shared" si="0"/>
        <v>2042</v>
      </c>
      <c r="Z6" s="160">
        <f t="shared" si="0"/>
        <v>2043</v>
      </c>
      <c r="AA6" s="160">
        <f t="shared" si="0"/>
        <v>2044</v>
      </c>
      <c r="AB6" s="160">
        <f t="shared" si="0"/>
        <v>2045</v>
      </c>
      <c r="AC6" s="160">
        <f t="shared" si="0"/>
        <v>2046</v>
      </c>
      <c r="AD6" s="160">
        <f t="shared" si="0"/>
        <v>2047</v>
      </c>
      <c r="AE6" s="160">
        <f t="shared" si="0"/>
        <v>2048</v>
      </c>
      <c r="AF6" s="160">
        <f t="shared" si="0"/>
        <v>2049</v>
      </c>
      <c r="AG6" s="160">
        <f t="shared" si="0"/>
        <v>2050</v>
      </c>
      <c r="AI6" s="160" t="s">
        <v>143</v>
      </c>
      <c r="AJ6" s="158"/>
    </row>
    <row r="7" spans="1:36" ht="15" x14ac:dyDescent="0.25">
      <c r="A7" s="217" t="s">
        <v>13</v>
      </c>
      <c r="B7" s="18" t="s">
        <v>126</v>
      </c>
      <c r="C7" s="161"/>
      <c r="E7" s="162">
        <f>CTP!C4</f>
        <v>1300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4">
        <v>0</v>
      </c>
      <c r="AH7" s="158"/>
      <c r="AI7" s="165">
        <f>+SUM(E7:AG7)</f>
        <v>1300</v>
      </c>
      <c r="AJ7" s="158"/>
    </row>
    <row r="8" spans="1:36" ht="15" x14ac:dyDescent="0.25">
      <c r="A8" s="218"/>
      <c r="B8" s="21" t="s">
        <v>39</v>
      </c>
      <c r="C8" s="161"/>
      <c r="E8" s="166">
        <f>CTP!C5</f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  <c r="AG8" s="168">
        <v>0</v>
      </c>
      <c r="AH8" s="158"/>
      <c r="AI8" s="169">
        <f t="shared" ref="AI8:AI16" si="1">+SUM(E8:AG8)</f>
        <v>0</v>
      </c>
      <c r="AJ8" s="158"/>
    </row>
    <row r="9" spans="1:36" ht="15" x14ac:dyDescent="0.25">
      <c r="A9" s="219"/>
      <c r="B9" s="19" t="s">
        <v>78</v>
      </c>
      <c r="C9" s="161"/>
      <c r="E9" s="170">
        <f>CTP!C6</f>
        <v>300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0</v>
      </c>
      <c r="AG9" s="172">
        <v>0</v>
      </c>
      <c r="AH9" s="158"/>
      <c r="AI9" s="173">
        <f t="shared" si="1"/>
        <v>300</v>
      </c>
      <c r="AJ9" s="158"/>
    </row>
    <row r="10" spans="1:36" ht="15" x14ac:dyDescent="0.25">
      <c r="A10" s="217" t="s">
        <v>14</v>
      </c>
      <c r="B10" s="18" t="s">
        <v>61</v>
      </c>
      <c r="C10" s="161"/>
      <c r="E10" s="162">
        <f>CTP!C7</f>
        <v>65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3">
        <v>0</v>
      </c>
      <c r="AA10" s="163">
        <v>0</v>
      </c>
      <c r="AB10" s="163">
        <v>0</v>
      </c>
      <c r="AC10" s="163">
        <v>0</v>
      </c>
      <c r="AD10" s="163">
        <v>0</v>
      </c>
      <c r="AE10" s="163">
        <v>0</v>
      </c>
      <c r="AF10" s="163">
        <v>0</v>
      </c>
      <c r="AG10" s="164">
        <v>0</v>
      </c>
      <c r="AH10" s="158"/>
      <c r="AI10" s="165">
        <f t="shared" si="1"/>
        <v>65</v>
      </c>
      <c r="AJ10" s="158"/>
    </row>
    <row r="11" spans="1:36" ht="15" x14ac:dyDescent="0.25">
      <c r="A11" s="218"/>
      <c r="B11" s="76" t="s">
        <v>25</v>
      </c>
      <c r="C11" s="161"/>
      <c r="E11" s="166">
        <f>CTP!C8</f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f>[1]CTP!$C$7</f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  <c r="AG11" s="168">
        <v>0</v>
      </c>
      <c r="AH11" s="158"/>
      <c r="AI11" s="169">
        <f t="shared" si="1"/>
        <v>0</v>
      </c>
      <c r="AJ11" s="158"/>
    </row>
    <row r="12" spans="1:36" ht="15" x14ac:dyDescent="0.25">
      <c r="A12" s="218"/>
      <c r="B12" s="76" t="s">
        <v>62</v>
      </c>
      <c r="C12" s="161"/>
      <c r="E12" s="166">
        <f>CTP!C9</f>
        <v>286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  <c r="AG12" s="168">
        <v>0</v>
      </c>
      <c r="AH12" s="158"/>
      <c r="AI12" s="169">
        <f t="shared" si="1"/>
        <v>286</v>
      </c>
      <c r="AJ12" s="158"/>
    </row>
    <row r="13" spans="1:36" ht="15" x14ac:dyDescent="0.25">
      <c r="A13" s="218"/>
      <c r="B13" s="76" t="s">
        <v>24</v>
      </c>
      <c r="C13" s="161"/>
      <c r="E13" s="166">
        <f>CTP!C10</f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  <c r="AG13" s="168">
        <v>0</v>
      </c>
      <c r="AH13" s="158"/>
      <c r="AI13" s="169">
        <f t="shared" si="1"/>
        <v>0</v>
      </c>
      <c r="AJ13" s="158"/>
    </row>
    <row r="14" spans="1:36" ht="15" x14ac:dyDescent="0.25">
      <c r="A14" s="218"/>
      <c r="B14" s="76" t="s">
        <v>98</v>
      </c>
      <c r="C14" s="161"/>
      <c r="E14" s="166">
        <f>CTP!$C$4*Parametros!$C$94</f>
        <v>0</v>
      </c>
      <c r="F14" s="167">
        <f>CTP!$C$4*Parametros!$C$95</f>
        <v>0</v>
      </c>
      <c r="G14" s="167">
        <f>CTP!$C$4*Parametros!$C$95</f>
        <v>0</v>
      </c>
      <c r="H14" s="167">
        <f>CTP!$C$4*Parametros!$C$95</f>
        <v>0</v>
      </c>
      <c r="I14" s="167">
        <f>CTP!$C$4*Parametros!$C$95</f>
        <v>0</v>
      </c>
      <c r="J14" s="167">
        <f>CTP!$C$4*Parametros!$C$95</f>
        <v>0</v>
      </c>
      <c r="K14" s="167">
        <f>CTP!$C$4*Parametros!$C$95</f>
        <v>0</v>
      </c>
      <c r="L14" s="167">
        <f>CTP!$C$4*Parametros!$C$95</f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  <c r="AG14" s="168">
        <v>0</v>
      </c>
      <c r="AH14" s="158"/>
      <c r="AI14" s="169">
        <f t="shared" si="1"/>
        <v>0</v>
      </c>
      <c r="AJ14" s="158"/>
    </row>
    <row r="15" spans="1:36" ht="15" x14ac:dyDescent="0.25">
      <c r="A15" s="219"/>
      <c r="B15" s="19" t="s">
        <v>79</v>
      </c>
      <c r="C15" s="161"/>
      <c r="E15" s="170">
        <f>-IPMT(Parametros!$C$41,1,Parametros!$C$40,SUM(CTP!$C$4,CTP!$C$7:$C$10))</f>
        <v>96.583500000000001</v>
      </c>
      <c r="F15" s="174">
        <f>-IPMT(Parametros!$C$41,2,Parametros!$C$40,SUM(CTP!$C$4,CTP!$C$7:$C$10))</f>
        <v>66.201033112047639</v>
      </c>
      <c r="G15" s="174">
        <f>-IPMT(Parametros!$C$41,3,Parametros!$C$40,SUM(CTP!$C$4,CTP!$C$7:$C$10))</f>
        <v>34.041191911150079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72">
        <v>0</v>
      </c>
      <c r="AH15" s="158"/>
      <c r="AI15" s="173">
        <f t="shared" si="1"/>
        <v>196.82572502319772</v>
      </c>
      <c r="AJ15" s="158"/>
    </row>
    <row r="16" spans="1:36" ht="15" x14ac:dyDescent="0.25">
      <c r="A16" s="217" t="s">
        <v>15</v>
      </c>
      <c r="B16" s="76" t="s">
        <v>31</v>
      </c>
      <c r="C16" s="161"/>
      <c r="E16" s="162">
        <f>Parametros!$C$12*Parametros!$C$29</f>
        <v>30</v>
      </c>
      <c r="F16" s="163">
        <f>Parametros!$C$12*Parametros!$C$29</f>
        <v>30</v>
      </c>
      <c r="G16" s="163">
        <f>Parametros!$C$12*Parametros!$C$29</f>
        <v>30</v>
      </c>
      <c r="H16" s="163">
        <f>Parametros!$C$12*Parametros!$C$29</f>
        <v>30</v>
      </c>
      <c r="I16" s="163">
        <f>Parametros!$C$12*Parametros!$C$29</f>
        <v>30</v>
      </c>
      <c r="J16" s="163">
        <f>Parametros!$C$12*Parametros!$C$29</f>
        <v>30</v>
      </c>
      <c r="K16" s="163">
        <f>Parametros!$C$12*Parametros!$C$29</f>
        <v>30</v>
      </c>
      <c r="L16" s="163">
        <f>Parametros!$C$12*Parametros!$C$29</f>
        <v>30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</v>
      </c>
      <c r="AA16" s="163">
        <v>0</v>
      </c>
      <c r="AB16" s="163">
        <v>0</v>
      </c>
      <c r="AC16" s="163">
        <v>0</v>
      </c>
      <c r="AD16" s="163">
        <v>0</v>
      </c>
      <c r="AE16" s="163">
        <v>0</v>
      </c>
      <c r="AF16" s="163">
        <v>0</v>
      </c>
      <c r="AG16" s="164">
        <v>0</v>
      </c>
      <c r="AH16" s="158"/>
      <c r="AI16" s="165">
        <f t="shared" si="1"/>
        <v>240</v>
      </c>
      <c r="AJ16" s="158"/>
    </row>
    <row r="17" spans="1:36" ht="15" x14ac:dyDescent="0.25">
      <c r="A17" s="219"/>
      <c r="B17" s="19" t="s">
        <v>80</v>
      </c>
      <c r="C17" s="161"/>
      <c r="E17" s="170">
        <f>Parametros!C55</f>
        <v>4.6409400000000005</v>
      </c>
      <c r="F17" s="174">
        <f>Parametros!C56</f>
        <v>4.6409400000000005</v>
      </c>
      <c r="G17" s="174">
        <f>Parametros!C57</f>
        <v>4.6409400000000005</v>
      </c>
      <c r="H17" s="171">
        <f>Parametros!C58</f>
        <v>4.6409400000000005</v>
      </c>
      <c r="I17" s="171">
        <f>Parametros!C59</f>
        <v>4.6409400000000005</v>
      </c>
      <c r="J17" s="171">
        <f>Parametros!C60</f>
        <v>4.6409400000000005</v>
      </c>
      <c r="K17" s="171">
        <f>Parametros!C61</f>
        <v>4.6409400000000005</v>
      </c>
      <c r="L17" s="171">
        <f>Parametros!C62</f>
        <v>4.6409400000000005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v>0</v>
      </c>
      <c r="AG17" s="172">
        <v>0</v>
      </c>
      <c r="AH17" s="158"/>
      <c r="AI17" s="173">
        <f>+SUM(E17:AG17)</f>
        <v>37.127520000000004</v>
      </c>
      <c r="AJ17" s="158"/>
    </row>
    <row r="18" spans="1:36" ht="15" x14ac:dyDescent="0.25">
      <c r="A18" s="45" t="s">
        <v>81</v>
      </c>
      <c r="B18" s="46" t="s">
        <v>82</v>
      </c>
      <c r="C18" s="161"/>
      <c r="E18" s="195">
        <f>Parametros!$C$99*Parametros!$C$11*Parametros!$C$29*Parametros!$C$100/1000</f>
        <v>6.6240000000000007E-2</v>
      </c>
      <c r="F18" s="196">
        <f>Parametros!$C$99*Parametros!$C$11*Parametros!$C$29*Parametros!$C$100/1000</f>
        <v>6.6240000000000007E-2</v>
      </c>
      <c r="G18" s="196">
        <f>Parametros!$C$99*Parametros!$C$11*Parametros!$C$29*Parametros!$C$100/1000</f>
        <v>6.6240000000000007E-2</v>
      </c>
      <c r="H18" s="196">
        <f>Parametros!$C$99*Parametros!$C$11*Parametros!$C$29*Parametros!$C$100/1000</f>
        <v>6.6240000000000007E-2</v>
      </c>
      <c r="I18" s="196">
        <f>Parametros!$C$99*Parametros!$C$11*Parametros!$C$29*Parametros!$C$100/1000</f>
        <v>6.6240000000000007E-2</v>
      </c>
      <c r="J18" s="196">
        <f>Parametros!$C$99*Parametros!$C$11*Parametros!$C$29*Parametros!$C$100/1000</f>
        <v>6.6240000000000007E-2</v>
      </c>
      <c r="K18" s="196">
        <f>Parametros!$C$99*Parametros!$C$11*Parametros!$C$29*Parametros!$C$100/1000</f>
        <v>6.6240000000000007E-2</v>
      </c>
      <c r="L18" s="196">
        <f>Parametros!$C$99*Parametros!$C$11*Parametros!$C$29*Parametros!$C$100/1000</f>
        <v>6.6240000000000007E-2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v>0</v>
      </c>
      <c r="V18" s="171">
        <v>0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v>0</v>
      </c>
      <c r="AG18" s="172">
        <v>0</v>
      </c>
      <c r="AH18" s="158"/>
      <c r="AI18" s="167">
        <f>+SUM(E18:AG18)</f>
        <v>0.52992000000000006</v>
      </c>
      <c r="AJ18" s="158"/>
    </row>
    <row r="19" spans="1:36" ht="15" x14ac:dyDescent="0.25">
      <c r="B19" s="156" t="s">
        <v>143</v>
      </c>
      <c r="C19" s="161"/>
      <c r="E19" s="175">
        <f t="shared" ref="E19:AG19" si="2">SUM(E7:E18)</f>
        <v>2082.2906800000001</v>
      </c>
      <c r="F19" s="175">
        <f t="shared" si="2"/>
        <v>100.90821311204763</v>
      </c>
      <c r="G19" s="175">
        <f t="shared" si="2"/>
        <v>68.748371911150073</v>
      </c>
      <c r="H19" s="175">
        <f t="shared" si="2"/>
        <v>34.707180000000001</v>
      </c>
      <c r="I19" s="175">
        <f t="shared" si="2"/>
        <v>34.707180000000001</v>
      </c>
      <c r="J19" s="175">
        <f t="shared" si="2"/>
        <v>34.707180000000001</v>
      </c>
      <c r="K19" s="175">
        <f t="shared" si="2"/>
        <v>34.707180000000001</v>
      </c>
      <c r="L19" s="175">
        <f t="shared" si="2"/>
        <v>34.707180000000001</v>
      </c>
      <c r="M19" s="175">
        <f t="shared" si="2"/>
        <v>0</v>
      </c>
      <c r="N19" s="175">
        <f t="shared" si="2"/>
        <v>0</v>
      </c>
      <c r="O19" s="175">
        <f t="shared" si="2"/>
        <v>0</v>
      </c>
      <c r="P19" s="175">
        <f t="shared" si="2"/>
        <v>0</v>
      </c>
      <c r="Q19" s="175">
        <f t="shared" si="2"/>
        <v>0</v>
      </c>
      <c r="R19" s="175">
        <f t="shared" si="2"/>
        <v>0</v>
      </c>
      <c r="S19" s="175">
        <f t="shared" si="2"/>
        <v>0</v>
      </c>
      <c r="T19" s="175">
        <f t="shared" si="2"/>
        <v>0</v>
      </c>
      <c r="U19" s="175">
        <f t="shared" si="2"/>
        <v>0</v>
      </c>
      <c r="V19" s="175">
        <f t="shared" si="2"/>
        <v>0</v>
      </c>
      <c r="W19" s="175">
        <f t="shared" si="2"/>
        <v>0</v>
      </c>
      <c r="X19" s="175">
        <f t="shared" si="2"/>
        <v>0</v>
      </c>
      <c r="Y19" s="175">
        <f t="shared" si="2"/>
        <v>0</v>
      </c>
      <c r="Z19" s="175">
        <f t="shared" si="2"/>
        <v>0</v>
      </c>
      <c r="AA19" s="175">
        <f t="shared" si="2"/>
        <v>0</v>
      </c>
      <c r="AB19" s="175">
        <f t="shared" si="2"/>
        <v>0</v>
      </c>
      <c r="AC19" s="175">
        <f t="shared" si="2"/>
        <v>0</v>
      </c>
      <c r="AD19" s="175">
        <f t="shared" si="2"/>
        <v>0</v>
      </c>
      <c r="AE19" s="175">
        <f t="shared" si="2"/>
        <v>0</v>
      </c>
      <c r="AF19" s="175">
        <f t="shared" si="2"/>
        <v>0</v>
      </c>
      <c r="AG19" s="175">
        <f t="shared" si="2"/>
        <v>0</v>
      </c>
      <c r="AH19" s="158"/>
      <c r="AI19" s="176">
        <f>+SUM(E19:AG19)</f>
        <v>2425.4831650231972</v>
      </c>
      <c r="AJ19" s="158"/>
    </row>
    <row r="20" spans="1:36" ht="15" x14ac:dyDescent="0.25">
      <c r="A20" s="158"/>
      <c r="C20" s="17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</row>
    <row r="21" spans="1:36" ht="15" x14ac:dyDescent="0.25">
      <c r="C21" s="161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58"/>
      <c r="AI21" s="158"/>
      <c r="AJ21" s="158"/>
    </row>
    <row r="22" spans="1:36" ht="15" x14ac:dyDescent="0.25">
      <c r="A22" s="156" t="s">
        <v>146</v>
      </c>
      <c r="E22" s="179">
        <f t="shared" ref="E22:AG22" si="3">1/(1+$C$3)^E5</f>
        <v>1</v>
      </c>
      <c r="F22" s="179">
        <f t="shared" si="3"/>
        <v>1</v>
      </c>
      <c r="G22" s="179">
        <f t="shared" si="3"/>
        <v>1</v>
      </c>
      <c r="H22" s="179">
        <f t="shared" si="3"/>
        <v>1</v>
      </c>
      <c r="I22" s="179">
        <f t="shared" si="3"/>
        <v>1</v>
      </c>
      <c r="J22" s="179">
        <f t="shared" si="3"/>
        <v>1</v>
      </c>
      <c r="K22" s="179">
        <f t="shared" si="3"/>
        <v>1</v>
      </c>
      <c r="L22" s="179">
        <f t="shared" si="3"/>
        <v>1</v>
      </c>
      <c r="M22" s="179">
        <f t="shared" si="3"/>
        <v>1</v>
      </c>
      <c r="N22" s="179">
        <f t="shared" si="3"/>
        <v>1</v>
      </c>
      <c r="O22" s="179">
        <f t="shared" si="3"/>
        <v>1</v>
      </c>
      <c r="P22" s="179">
        <f t="shared" si="3"/>
        <v>1</v>
      </c>
      <c r="Q22" s="179">
        <f t="shared" si="3"/>
        <v>1</v>
      </c>
      <c r="R22" s="179">
        <f t="shared" si="3"/>
        <v>1</v>
      </c>
      <c r="S22" s="179">
        <f t="shared" si="3"/>
        <v>1</v>
      </c>
      <c r="T22" s="179">
        <f t="shared" si="3"/>
        <v>1</v>
      </c>
      <c r="U22" s="179">
        <f t="shared" si="3"/>
        <v>1</v>
      </c>
      <c r="V22" s="179">
        <f t="shared" si="3"/>
        <v>1</v>
      </c>
      <c r="W22" s="179">
        <f t="shared" si="3"/>
        <v>1</v>
      </c>
      <c r="X22" s="179">
        <f t="shared" si="3"/>
        <v>1</v>
      </c>
      <c r="Y22" s="179">
        <f t="shared" si="3"/>
        <v>1</v>
      </c>
      <c r="Z22" s="179">
        <f t="shared" si="3"/>
        <v>1</v>
      </c>
      <c r="AA22" s="179">
        <f t="shared" si="3"/>
        <v>1</v>
      </c>
      <c r="AB22" s="179">
        <f t="shared" si="3"/>
        <v>1</v>
      </c>
      <c r="AC22" s="179">
        <f t="shared" si="3"/>
        <v>1</v>
      </c>
      <c r="AD22" s="179">
        <f t="shared" si="3"/>
        <v>1</v>
      </c>
      <c r="AE22" s="179">
        <f t="shared" si="3"/>
        <v>1</v>
      </c>
      <c r="AF22" s="179">
        <f t="shared" si="3"/>
        <v>1</v>
      </c>
      <c r="AG22" s="179">
        <f t="shared" si="3"/>
        <v>1</v>
      </c>
      <c r="AH22" s="158"/>
      <c r="AI22" s="158"/>
      <c r="AJ22" s="158"/>
    </row>
    <row r="23" spans="1:36" ht="15" x14ac:dyDescent="0.25">
      <c r="C23" s="180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58"/>
      <c r="AI23" s="158"/>
      <c r="AJ23" s="158"/>
    </row>
    <row r="24" spans="1:36" ht="15" x14ac:dyDescent="0.25">
      <c r="A24" s="227" t="s">
        <v>147</v>
      </c>
      <c r="B24" s="227"/>
      <c r="C24" s="156" t="s">
        <v>1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</row>
    <row r="25" spans="1:36" ht="15" x14ac:dyDescent="0.25">
      <c r="A25" s="217" t="s">
        <v>13</v>
      </c>
      <c r="B25" s="18" t="s">
        <v>144</v>
      </c>
      <c r="C25" s="161"/>
      <c r="E25" s="181">
        <f>+E7*E$22</f>
        <v>1300</v>
      </c>
      <c r="F25" s="182">
        <f t="shared" ref="F25:AG34" si="4">+F7*F$22</f>
        <v>0</v>
      </c>
      <c r="G25" s="182">
        <f t="shared" si="4"/>
        <v>0</v>
      </c>
      <c r="H25" s="182">
        <f t="shared" si="4"/>
        <v>0</v>
      </c>
      <c r="I25" s="182">
        <f t="shared" si="4"/>
        <v>0</v>
      </c>
      <c r="J25" s="182">
        <f t="shared" si="4"/>
        <v>0</v>
      </c>
      <c r="K25" s="182">
        <f t="shared" si="4"/>
        <v>0</v>
      </c>
      <c r="L25" s="182">
        <f t="shared" si="4"/>
        <v>0</v>
      </c>
      <c r="M25" s="182">
        <f t="shared" si="4"/>
        <v>0</v>
      </c>
      <c r="N25" s="182">
        <f t="shared" si="4"/>
        <v>0</v>
      </c>
      <c r="O25" s="182">
        <f t="shared" si="4"/>
        <v>0</v>
      </c>
      <c r="P25" s="182">
        <f t="shared" si="4"/>
        <v>0</v>
      </c>
      <c r="Q25" s="182">
        <f t="shared" si="4"/>
        <v>0</v>
      </c>
      <c r="R25" s="182">
        <f t="shared" si="4"/>
        <v>0</v>
      </c>
      <c r="S25" s="182">
        <f t="shared" si="4"/>
        <v>0</v>
      </c>
      <c r="T25" s="182">
        <f t="shared" si="4"/>
        <v>0</v>
      </c>
      <c r="U25" s="182">
        <f t="shared" si="4"/>
        <v>0</v>
      </c>
      <c r="V25" s="182">
        <f t="shared" si="4"/>
        <v>0</v>
      </c>
      <c r="W25" s="182">
        <f t="shared" si="4"/>
        <v>0</v>
      </c>
      <c r="X25" s="182">
        <f t="shared" si="4"/>
        <v>0</v>
      </c>
      <c r="Y25" s="182">
        <f t="shared" si="4"/>
        <v>0</v>
      </c>
      <c r="Z25" s="182">
        <f t="shared" si="4"/>
        <v>0</v>
      </c>
      <c r="AA25" s="182">
        <f t="shared" si="4"/>
        <v>0</v>
      </c>
      <c r="AB25" s="182">
        <f t="shared" si="4"/>
        <v>0</v>
      </c>
      <c r="AC25" s="182">
        <f t="shared" si="4"/>
        <v>0</v>
      </c>
      <c r="AD25" s="182">
        <f t="shared" si="4"/>
        <v>0</v>
      </c>
      <c r="AE25" s="182">
        <f t="shared" si="4"/>
        <v>0</v>
      </c>
      <c r="AF25" s="182">
        <f t="shared" si="4"/>
        <v>0</v>
      </c>
      <c r="AG25" s="183">
        <f t="shared" si="4"/>
        <v>0</v>
      </c>
      <c r="AH25" s="158"/>
      <c r="AI25" s="184">
        <f t="shared" ref="AI25:AI36" si="5">+SUM(E25:AG25)</f>
        <v>1300</v>
      </c>
      <c r="AJ25" s="158"/>
    </row>
    <row r="26" spans="1:36" ht="15" x14ac:dyDescent="0.25">
      <c r="A26" s="218"/>
      <c r="B26" s="76" t="s">
        <v>39</v>
      </c>
      <c r="C26" s="161"/>
      <c r="E26" s="185">
        <f t="shared" ref="E26:T36" si="6">+E8*E$22</f>
        <v>0</v>
      </c>
      <c r="F26" s="186">
        <f t="shared" si="6"/>
        <v>0</v>
      </c>
      <c r="G26" s="186">
        <f t="shared" si="6"/>
        <v>0</v>
      </c>
      <c r="H26" s="186">
        <f t="shared" si="6"/>
        <v>0</v>
      </c>
      <c r="I26" s="186">
        <f t="shared" si="6"/>
        <v>0</v>
      </c>
      <c r="J26" s="186">
        <f t="shared" si="6"/>
        <v>0</v>
      </c>
      <c r="K26" s="186">
        <f t="shared" si="6"/>
        <v>0</v>
      </c>
      <c r="L26" s="186">
        <f t="shared" si="6"/>
        <v>0</v>
      </c>
      <c r="M26" s="186">
        <f t="shared" si="6"/>
        <v>0</v>
      </c>
      <c r="N26" s="186">
        <f t="shared" si="6"/>
        <v>0</v>
      </c>
      <c r="O26" s="186">
        <f t="shared" si="6"/>
        <v>0</v>
      </c>
      <c r="P26" s="186">
        <f t="shared" si="6"/>
        <v>0</v>
      </c>
      <c r="Q26" s="186">
        <f t="shared" si="6"/>
        <v>0</v>
      </c>
      <c r="R26" s="186">
        <f t="shared" si="6"/>
        <v>0</v>
      </c>
      <c r="S26" s="186">
        <f t="shared" si="6"/>
        <v>0</v>
      </c>
      <c r="T26" s="186">
        <f t="shared" si="6"/>
        <v>0</v>
      </c>
      <c r="U26" s="186">
        <f t="shared" si="4"/>
        <v>0</v>
      </c>
      <c r="V26" s="186">
        <f t="shared" si="4"/>
        <v>0</v>
      </c>
      <c r="W26" s="186">
        <f t="shared" si="4"/>
        <v>0</v>
      </c>
      <c r="X26" s="186">
        <f t="shared" si="4"/>
        <v>0</v>
      </c>
      <c r="Y26" s="186">
        <f t="shared" si="4"/>
        <v>0</v>
      </c>
      <c r="Z26" s="186">
        <f t="shared" si="4"/>
        <v>0</v>
      </c>
      <c r="AA26" s="186">
        <f t="shared" si="4"/>
        <v>0</v>
      </c>
      <c r="AB26" s="186">
        <f t="shared" si="4"/>
        <v>0</v>
      </c>
      <c r="AC26" s="186">
        <f t="shared" si="4"/>
        <v>0</v>
      </c>
      <c r="AD26" s="186">
        <f t="shared" si="4"/>
        <v>0</v>
      </c>
      <c r="AE26" s="186">
        <f t="shared" si="4"/>
        <v>0</v>
      </c>
      <c r="AF26" s="186">
        <f t="shared" si="4"/>
        <v>0</v>
      </c>
      <c r="AG26" s="187">
        <f t="shared" si="4"/>
        <v>0</v>
      </c>
      <c r="AH26" s="158"/>
      <c r="AI26" s="188">
        <f t="shared" si="5"/>
        <v>0</v>
      </c>
      <c r="AJ26" s="158"/>
    </row>
    <row r="27" spans="1:36" ht="15" x14ac:dyDescent="0.25">
      <c r="A27" s="219"/>
      <c r="B27" s="19" t="s">
        <v>78</v>
      </c>
      <c r="C27" s="161"/>
      <c r="E27" s="189">
        <f t="shared" si="6"/>
        <v>300</v>
      </c>
      <c r="F27" s="190">
        <f t="shared" si="4"/>
        <v>0</v>
      </c>
      <c r="G27" s="190">
        <f t="shared" si="4"/>
        <v>0</v>
      </c>
      <c r="H27" s="190">
        <f t="shared" si="4"/>
        <v>0</v>
      </c>
      <c r="I27" s="190">
        <f t="shared" si="4"/>
        <v>0</v>
      </c>
      <c r="J27" s="190">
        <f t="shared" si="4"/>
        <v>0</v>
      </c>
      <c r="K27" s="190">
        <f t="shared" si="4"/>
        <v>0</v>
      </c>
      <c r="L27" s="190">
        <f t="shared" si="4"/>
        <v>0</v>
      </c>
      <c r="M27" s="190">
        <f t="shared" si="4"/>
        <v>0</v>
      </c>
      <c r="N27" s="190">
        <f t="shared" si="4"/>
        <v>0</v>
      </c>
      <c r="O27" s="190">
        <f t="shared" si="4"/>
        <v>0</v>
      </c>
      <c r="P27" s="190">
        <f t="shared" si="4"/>
        <v>0</v>
      </c>
      <c r="Q27" s="190">
        <f t="shared" si="4"/>
        <v>0</v>
      </c>
      <c r="R27" s="190">
        <f t="shared" si="4"/>
        <v>0</v>
      </c>
      <c r="S27" s="190">
        <f t="shared" si="4"/>
        <v>0</v>
      </c>
      <c r="T27" s="190">
        <f t="shared" si="4"/>
        <v>0</v>
      </c>
      <c r="U27" s="190">
        <f t="shared" si="4"/>
        <v>0</v>
      </c>
      <c r="V27" s="190">
        <f t="shared" si="4"/>
        <v>0</v>
      </c>
      <c r="W27" s="190">
        <f t="shared" si="4"/>
        <v>0</v>
      </c>
      <c r="X27" s="190">
        <f t="shared" si="4"/>
        <v>0</v>
      </c>
      <c r="Y27" s="190">
        <f t="shared" si="4"/>
        <v>0</v>
      </c>
      <c r="Z27" s="190">
        <f t="shared" si="4"/>
        <v>0</v>
      </c>
      <c r="AA27" s="190">
        <f t="shared" si="4"/>
        <v>0</v>
      </c>
      <c r="AB27" s="190">
        <f t="shared" si="4"/>
        <v>0</v>
      </c>
      <c r="AC27" s="190">
        <f t="shared" si="4"/>
        <v>0</v>
      </c>
      <c r="AD27" s="190">
        <f t="shared" si="4"/>
        <v>0</v>
      </c>
      <c r="AE27" s="190">
        <f t="shared" si="4"/>
        <v>0</v>
      </c>
      <c r="AF27" s="190">
        <f t="shared" si="4"/>
        <v>0</v>
      </c>
      <c r="AG27" s="191">
        <f t="shared" si="4"/>
        <v>0</v>
      </c>
      <c r="AH27" s="158"/>
      <c r="AI27" s="192">
        <f t="shared" si="5"/>
        <v>300</v>
      </c>
      <c r="AJ27" s="158"/>
    </row>
    <row r="28" spans="1:36" ht="15" x14ac:dyDescent="0.25">
      <c r="A28" s="217" t="s">
        <v>14</v>
      </c>
      <c r="B28" s="18" t="s">
        <v>61</v>
      </c>
      <c r="C28" s="161"/>
      <c r="E28" s="181">
        <f t="shared" si="6"/>
        <v>65</v>
      </c>
      <c r="F28" s="182">
        <f t="shared" si="4"/>
        <v>0</v>
      </c>
      <c r="G28" s="182">
        <f t="shared" si="4"/>
        <v>0</v>
      </c>
      <c r="H28" s="182">
        <f t="shared" si="4"/>
        <v>0</v>
      </c>
      <c r="I28" s="182">
        <f t="shared" si="4"/>
        <v>0</v>
      </c>
      <c r="J28" s="182">
        <f t="shared" si="4"/>
        <v>0</v>
      </c>
      <c r="K28" s="182">
        <f t="shared" si="4"/>
        <v>0</v>
      </c>
      <c r="L28" s="182">
        <f t="shared" si="4"/>
        <v>0</v>
      </c>
      <c r="M28" s="182">
        <f t="shared" si="4"/>
        <v>0</v>
      </c>
      <c r="N28" s="182">
        <f t="shared" si="4"/>
        <v>0</v>
      </c>
      <c r="O28" s="182">
        <f t="shared" si="4"/>
        <v>0</v>
      </c>
      <c r="P28" s="182">
        <f t="shared" si="4"/>
        <v>0</v>
      </c>
      <c r="Q28" s="182">
        <f t="shared" si="4"/>
        <v>0</v>
      </c>
      <c r="R28" s="182">
        <f t="shared" si="4"/>
        <v>0</v>
      </c>
      <c r="S28" s="182">
        <f t="shared" si="4"/>
        <v>0</v>
      </c>
      <c r="T28" s="182">
        <f t="shared" si="4"/>
        <v>0</v>
      </c>
      <c r="U28" s="182">
        <f t="shared" si="4"/>
        <v>0</v>
      </c>
      <c r="V28" s="182">
        <f t="shared" si="4"/>
        <v>0</v>
      </c>
      <c r="W28" s="182">
        <f t="shared" si="4"/>
        <v>0</v>
      </c>
      <c r="X28" s="182">
        <f t="shared" si="4"/>
        <v>0</v>
      </c>
      <c r="Y28" s="182">
        <f t="shared" si="4"/>
        <v>0</v>
      </c>
      <c r="Z28" s="182">
        <f t="shared" si="4"/>
        <v>0</v>
      </c>
      <c r="AA28" s="182">
        <f t="shared" si="4"/>
        <v>0</v>
      </c>
      <c r="AB28" s="182">
        <f t="shared" si="4"/>
        <v>0</v>
      </c>
      <c r="AC28" s="182">
        <f t="shared" si="4"/>
        <v>0</v>
      </c>
      <c r="AD28" s="182">
        <f t="shared" si="4"/>
        <v>0</v>
      </c>
      <c r="AE28" s="182">
        <f t="shared" si="4"/>
        <v>0</v>
      </c>
      <c r="AF28" s="182">
        <f t="shared" si="4"/>
        <v>0</v>
      </c>
      <c r="AG28" s="183">
        <f t="shared" si="4"/>
        <v>0</v>
      </c>
      <c r="AH28" s="158"/>
      <c r="AI28" s="184">
        <f t="shared" si="5"/>
        <v>65</v>
      </c>
      <c r="AJ28" s="158"/>
    </row>
    <row r="29" spans="1:36" ht="15" x14ac:dyDescent="0.25">
      <c r="A29" s="218"/>
      <c r="B29" s="76" t="s">
        <v>25</v>
      </c>
      <c r="C29" s="161"/>
      <c r="E29" s="185">
        <f t="shared" si="6"/>
        <v>0</v>
      </c>
      <c r="F29" s="186">
        <f t="shared" si="4"/>
        <v>0</v>
      </c>
      <c r="G29" s="186">
        <f t="shared" si="4"/>
        <v>0</v>
      </c>
      <c r="H29" s="186">
        <f t="shared" si="4"/>
        <v>0</v>
      </c>
      <c r="I29" s="186">
        <f t="shared" si="4"/>
        <v>0</v>
      </c>
      <c r="J29" s="186">
        <f t="shared" si="4"/>
        <v>0</v>
      </c>
      <c r="K29" s="186">
        <f t="shared" si="4"/>
        <v>0</v>
      </c>
      <c r="L29" s="186">
        <f t="shared" si="4"/>
        <v>0</v>
      </c>
      <c r="M29" s="186">
        <f t="shared" si="4"/>
        <v>0</v>
      </c>
      <c r="N29" s="186">
        <f t="shared" si="4"/>
        <v>0</v>
      </c>
      <c r="O29" s="186">
        <f t="shared" si="4"/>
        <v>0</v>
      </c>
      <c r="P29" s="186">
        <f t="shared" si="4"/>
        <v>0</v>
      </c>
      <c r="Q29" s="186">
        <f t="shared" si="4"/>
        <v>0</v>
      </c>
      <c r="R29" s="186">
        <f t="shared" si="4"/>
        <v>0</v>
      </c>
      <c r="S29" s="186">
        <f t="shared" si="4"/>
        <v>0</v>
      </c>
      <c r="T29" s="186">
        <f t="shared" si="4"/>
        <v>0</v>
      </c>
      <c r="U29" s="186">
        <f t="shared" si="4"/>
        <v>0</v>
      </c>
      <c r="V29" s="186">
        <f t="shared" si="4"/>
        <v>0</v>
      </c>
      <c r="W29" s="186">
        <f t="shared" si="4"/>
        <v>0</v>
      </c>
      <c r="X29" s="186">
        <f t="shared" si="4"/>
        <v>0</v>
      </c>
      <c r="Y29" s="186">
        <f t="shared" si="4"/>
        <v>0</v>
      </c>
      <c r="Z29" s="186">
        <f t="shared" si="4"/>
        <v>0</v>
      </c>
      <c r="AA29" s="186">
        <f t="shared" si="4"/>
        <v>0</v>
      </c>
      <c r="AB29" s="186">
        <f t="shared" si="4"/>
        <v>0</v>
      </c>
      <c r="AC29" s="186">
        <f t="shared" si="4"/>
        <v>0</v>
      </c>
      <c r="AD29" s="186">
        <f t="shared" si="4"/>
        <v>0</v>
      </c>
      <c r="AE29" s="186">
        <f t="shared" si="4"/>
        <v>0</v>
      </c>
      <c r="AF29" s="186">
        <f t="shared" si="4"/>
        <v>0</v>
      </c>
      <c r="AG29" s="187">
        <f t="shared" si="4"/>
        <v>0</v>
      </c>
      <c r="AH29" s="158"/>
      <c r="AI29" s="188">
        <f t="shared" si="5"/>
        <v>0</v>
      </c>
      <c r="AJ29" s="158"/>
    </row>
    <row r="30" spans="1:36" ht="15" x14ac:dyDescent="0.25">
      <c r="A30" s="218"/>
      <c r="B30" s="76" t="s">
        <v>62</v>
      </c>
      <c r="C30" s="161"/>
      <c r="E30" s="185">
        <f t="shared" si="6"/>
        <v>286</v>
      </c>
      <c r="F30" s="186">
        <f t="shared" si="4"/>
        <v>0</v>
      </c>
      <c r="G30" s="186">
        <f t="shared" si="4"/>
        <v>0</v>
      </c>
      <c r="H30" s="186">
        <f t="shared" si="4"/>
        <v>0</v>
      </c>
      <c r="I30" s="186">
        <f t="shared" si="4"/>
        <v>0</v>
      </c>
      <c r="J30" s="186">
        <f t="shared" si="4"/>
        <v>0</v>
      </c>
      <c r="K30" s="186">
        <f t="shared" si="4"/>
        <v>0</v>
      </c>
      <c r="L30" s="186">
        <f t="shared" si="4"/>
        <v>0</v>
      </c>
      <c r="M30" s="186">
        <f t="shared" si="4"/>
        <v>0</v>
      </c>
      <c r="N30" s="186">
        <f t="shared" si="4"/>
        <v>0</v>
      </c>
      <c r="O30" s="186">
        <f t="shared" si="4"/>
        <v>0</v>
      </c>
      <c r="P30" s="186">
        <f t="shared" si="4"/>
        <v>0</v>
      </c>
      <c r="Q30" s="186">
        <f t="shared" si="4"/>
        <v>0</v>
      </c>
      <c r="R30" s="186">
        <f t="shared" si="4"/>
        <v>0</v>
      </c>
      <c r="S30" s="186">
        <f t="shared" si="4"/>
        <v>0</v>
      </c>
      <c r="T30" s="186">
        <f t="shared" si="4"/>
        <v>0</v>
      </c>
      <c r="U30" s="186">
        <f t="shared" si="4"/>
        <v>0</v>
      </c>
      <c r="V30" s="186">
        <f t="shared" si="4"/>
        <v>0</v>
      </c>
      <c r="W30" s="186">
        <f t="shared" si="4"/>
        <v>0</v>
      </c>
      <c r="X30" s="186">
        <f t="shared" si="4"/>
        <v>0</v>
      </c>
      <c r="Y30" s="186">
        <f t="shared" si="4"/>
        <v>0</v>
      </c>
      <c r="Z30" s="186">
        <f t="shared" si="4"/>
        <v>0</v>
      </c>
      <c r="AA30" s="186">
        <f t="shared" si="4"/>
        <v>0</v>
      </c>
      <c r="AB30" s="186">
        <f t="shared" si="4"/>
        <v>0</v>
      </c>
      <c r="AC30" s="186">
        <f t="shared" si="4"/>
        <v>0</v>
      </c>
      <c r="AD30" s="186">
        <f t="shared" si="4"/>
        <v>0</v>
      </c>
      <c r="AE30" s="186">
        <f t="shared" si="4"/>
        <v>0</v>
      </c>
      <c r="AF30" s="186">
        <f t="shared" si="4"/>
        <v>0</v>
      </c>
      <c r="AG30" s="187">
        <f t="shared" si="4"/>
        <v>0</v>
      </c>
      <c r="AH30" s="158"/>
      <c r="AI30" s="188">
        <f t="shared" si="5"/>
        <v>286</v>
      </c>
      <c r="AJ30" s="158"/>
    </row>
    <row r="31" spans="1:36" ht="15" x14ac:dyDescent="0.25">
      <c r="A31" s="218"/>
      <c r="B31" s="76" t="s">
        <v>24</v>
      </c>
      <c r="C31" s="161"/>
      <c r="E31" s="185">
        <f t="shared" si="6"/>
        <v>0</v>
      </c>
      <c r="F31" s="186">
        <f t="shared" si="4"/>
        <v>0</v>
      </c>
      <c r="G31" s="186">
        <f t="shared" si="4"/>
        <v>0</v>
      </c>
      <c r="H31" s="186">
        <f t="shared" si="4"/>
        <v>0</v>
      </c>
      <c r="I31" s="186">
        <f t="shared" si="4"/>
        <v>0</v>
      </c>
      <c r="J31" s="186">
        <f t="shared" si="4"/>
        <v>0</v>
      </c>
      <c r="K31" s="186">
        <f t="shared" si="4"/>
        <v>0</v>
      </c>
      <c r="L31" s="186">
        <f t="shared" si="4"/>
        <v>0</v>
      </c>
      <c r="M31" s="186">
        <f t="shared" si="4"/>
        <v>0</v>
      </c>
      <c r="N31" s="186">
        <f t="shared" si="4"/>
        <v>0</v>
      </c>
      <c r="O31" s="186">
        <f t="shared" si="4"/>
        <v>0</v>
      </c>
      <c r="P31" s="186">
        <f t="shared" si="4"/>
        <v>0</v>
      </c>
      <c r="Q31" s="186">
        <f t="shared" si="4"/>
        <v>0</v>
      </c>
      <c r="R31" s="186">
        <f t="shared" si="4"/>
        <v>0</v>
      </c>
      <c r="S31" s="186">
        <f t="shared" si="4"/>
        <v>0</v>
      </c>
      <c r="T31" s="186">
        <f t="shared" si="4"/>
        <v>0</v>
      </c>
      <c r="U31" s="186">
        <f t="shared" si="4"/>
        <v>0</v>
      </c>
      <c r="V31" s="186">
        <f t="shared" si="4"/>
        <v>0</v>
      </c>
      <c r="W31" s="186">
        <f t="shared" si="4"/>
        <v>0</v>
      </c>
      <c r="X31" s="186">
        <f t="shared" si="4"/>
        <v>0</v>
      </c>
      <c r="Y31" s="186">
        <f t="shared" si="4"/>
        <v>0</v>
      </c>
      <c r="Z31" s="186">
        <f t="shared" si="4"/>
        <v>0</v>
      </c>
      <c r="AA31" s="186">
        <f t="shared" si="4"/>
        <v>0</v>
      </c>
      <c r="AB31" s="186">
        <f t="shared" si="4"/>
        <v>0</v>
      </c>
      <c r="AC31" s="186">
        <f t="shared" si="4"/>
        <v>0</v>
      </c>
      <c r="AD31" s="186">
        <f t="shared" si="4"/>
        <v>0</v>
      </c>
      <c r="AE31" s="186">
        <f t="shared" si="4"/>
        <v>0</v>
      </c>
      <c r="AF31" s="186">
        <f t="shared" si="4"/>
        <v>0</v>
      </c>
      <c r="AG31" s="187">
        <f t="shared" si="4"/>
        <v>0</v>
      </c>
      <c r="AH31" s="158"/>
      <c r="AI31" s="188">
        <f t="shared" si="5"/>
        <v>0</v>
      </c>
      <c r="AJ31" s="158"/>
    </row>
    <row r="32" spans="1:36" ht="15" x14ac:dyDescent="0.25">
      <c r="A32" s="218"/>
      <c r="B32" s="76" t="s">
        <v>98</v>
      </c>
      <c r="C32" s="180"/>
      <c r="E32" s="185">
        <f t="shared" si="6"/>
        <v>0</v>
      </c>
      <c r="F32" s="186">
        <f t="shared" si="4"/>
        <v>0</v>
      </c>
      <c r="G32" s="186">
        <f t="shared" si="4"/>
        <v>0</v>
      </c>
      <c r="H32" s="186">
        <f t="shared" si="4"/>
        <v>0</v>
      </c>
      <c r="I32" s="186">
        <f t="shared" si="4"/>
        <v>0</v>
      </c>
      <c r="J32" s="186">
        <f t="shared" si="4"/>
        <v>0</v>
      </c>
      <c r="K32" s="186">
        <f t="shared" si="4"/>
        <v>0</v>
      </c>
      <c r="L32" s="186">
        <f t="shared" si="4"/>
        <v>0</v>
      </c>
      <c r="M32" s="186">
        <f t="shared" si="4"/>
        <v>0</v>
      </c>
      <c r="N32" s="186">
        <f t="shared" si="4"/>
        <v>0</v>
      </c>
      <c r="O32" s="186">
        <f t="shared" si="4"/>
        <v>0</v>
      </c>
      <c r="P32" s="186">
        <f t="shared" si="4"/>
        <v>0</v>
      </c>
      <c r="Q32" s="186">
        <f t="shared" si="4"/>
        <v>0</v>
      </c>
      <c r="R32" s="186">
        <f t="shared" si="4"/>
        <v>0</v>
      </c>
      <c r="S32" s="186">
        <f t="shared" si="4"/>
        <v>0</v>
      </c>
      <c r="T32" s="186">
        <f t="shared" si="4"/>
        <v>0</v>
      </c>
      <c r="U32" s="186">
        <f t="shared" si="4"/>
        <v>0</v>
      </c>
      <c r="V32" s="186">
        <f t="shared" si="4"/>
        <v>0</v>
      </c>
      <c r="W32" s="186">
        <f t="shared" si="4"/>
        <v>0</v>
      </c>
      <c r="X32" s="186">
        <f t="shared" si="4"/>
        <v>0</v>
      </c>
      <c r="Y32" s="186">
        <f t="shared" si="4"/>
        <v>0</v>
      </c>
      <c r="Z32" s="186">
        <f t="shared" si="4"/>
        <v>0</v>
      </c>
      <c r="AA32" s="186">
        <f t="shared" si="4"/>
        <v>0</v>
      </c>
      <c r="AB32" s="186">
        <f t="shared" si="4"/>
        <v>0</v>
      </c>
      <c r="AC32" s="186">
        <f t="shared" si="4"/>
        <v>0</v>
      </c>
      <c r="AD32" s="186">
        <f t="shared" si="4"/>
        <v>0</v>
      </c>
      <c r="AE32" s="186">
        <f t="shared" si="4"/>
        <v>0</v>
      </c>
      <c r="AF32" s="186">
        <f t="shared" si="4"/>
        <v>0</v>
      </c>
      <c r="AG32" s="187">
        <f t="shared" si="4"/>
        <v>0</v>
      </c>
      <c r="AH32" s="158"/>
      <c r="AI32" s="188">
        <f t="shared" si="5"/>
        <v>0</v>
      </c>
      <c r="AJ32" s="158"/>
    </row>
    <row r="33" spans="1:36" ht="15" x14ac:dyDescent="0.25">
      <c r="A33" s="219"/>
      <c r="B33" s="19" t="s">
        <v>79</v>
      </c>
      <c r="C33" s="180"/>
      <c r="E33" s="189">
        <f t="shared" si="6"/>
        <v>96.583500000000001</v>
      </c>
      <c r="F33" s="190">
        <f t="shared" si="4"/>
        <v>66.201033112047639</v>
      </c>
      <c r="G33" s="190">
        <f t="shared" si="4"/>
        <v>34.041191911150079</v>
      </c>
      <c r="H33" s="190">
        <f t="shared" si="4"/>
        <v>0</v>
      </c>
      <c r="I33" s="190">
        <f t="shared" si="4"/>
        <v>0</v>
      </c>
      <c r="J33" s="190">
        <f t="shared" si="4"/>
        <v>0</v>
      </c>
      <c r="K33" s="190">
        <f t="shared" si="4"/>
        <v>0</v>
      </c>
      <c r="L33" s="190">
        <f t="shared" si="4"/>
        <v>0</v>
      </c>
      <c r="M33" s="190">
        <f t="shared" si="4"/>
        <v>0</v>
      </c>
      <c r="N33" s="190">
        <f t="shared" si="4"/>
        <v>0</v>
      </c>
      <c r="O33" s="190">
        <f t="shared" si="4"/>
        <v>0</v>
      </c>
      <c r="P33" s="190">
        <f t="shared" si="4"/>
        <v>0</v>
      </c>
      <c r="Q33" s="190">
        <f t="shared" si="4"/>
        <v>0</v>
      </c>
      <c r="R33" s="190">
        <f t="shared" si="4"/>
        <v>0</v>
      </c>
      <c r="S33" s="190">
        <f t="shared" si="4"/>
        <v>0</v>
      </c>
      <c r="T33" s="190">
        <f t="shared" si="4"/>
        <v>0</v>
      </c>
      <c r="U33" s="190">
        <f t="shared" si="4"/>
        <v>0</v>
      </c>
      <c r="V33" s="190">
        <f t="shared" si="4"/>
        <v>0</v>
      </c>
      <c r="W33" s="190">
        <f t="shared" si="4"/>
        <v>0</v>
      </c>
      <c r="X33" s="190">
        <f t="shared" si="4"/>
        <v>0</v>
      </c>
      <c r="Y33" s="190">
        <f t="shared" si="4"/>
        <v>0</v>
      </c>
      <c r="Z33" s="190">
        <f t="shared" si="4"/>
        <v>0</v>
      </c>
      <c r="AA33" s="190">
        <f t="shared" si="4"/>
        <v>0</v>
      </c>
      <c r="AB33" s="190">
        <f t="shared" si="4"/>
        <v>0</v>
      </c>
      <c r="AC33" s="190">
        <f t="shared" si="4"/>
        <v>0</v>
      </c>
      <c r="AD33" s="190">
        <f t="shared" si="4"/>
        <v>0</v>
      </c>
      <c r="AE33" s="190">
        <f t="shared" si="4"/>
        <v>0</v>
      </c>
      <c r="AF33" s="190">
        <f t="shared" si="4"/>
        <v>0</v>
      </c>
      <c r="AG33" s="191">
        <f t="shared" si="4"/>
        <v>0</v>
      </c>
      <c r="AH33" s="158"/>
      <c r="AI33" s="192">
        <f t="shared" si="5"/>
        <v>196.82572502319772</v>
      </c>
      <c r="AJ33" s="158"/>
    </row>
    <row r="34" spans="1:36" ht="15" x14ac:dyDescent="0.25">
      <c r="A34" s="217" t="s">
        <v>15</v>
      </c>
      <c r="B34" s="76" t="s">
        <v>31</v>
      </c>
      <c r="C34" s="180"/>
      <c r="E34" s="181">
        <f t="shared" si="6"/>
        <v>30</v>
      </c>
      <c r="F34" s="182">
        <f t="shared" si="4"/>
        <v>30</v>
      </c>
      <c r="G34" s="182">
        <f t="shared" si="4"/>
        <v>30</v>
      </c>
      <c r="H34" s="182">
        <f t="shared" si="4"/>
        <v>30</v>
      </c>
      <c r="I34" s="182">
        <f t="shared" si="4"/>
        <v>30</v>
      </c>
      <c r="J34" s="182">
        <f t="shared" si="4"/>
        <v>30</v>
      </c>
      <c r="K34" s="182">
        <f t="shared" si="4"/>
        <v>30</v>
      </c>
      <c r="L34" s="182">
        <f t="shared" si="4"/>
        <v>30</v>
      </c>
      <c r="M34" s="182">
        <f t="shared" si="4"/>
        <v>0</v>
      </c>
      <c r="N34" s="182">
        <f t="shared" si="4"/>
        <v>0</v>
      </c>
      <c r="O34" s="182">
        <f t="shared" si="4"/>
        <v>0</v>
      </c>
      <c r="P34" s="182">
        <f t="shared" si="4"/>
        <v>0</v>
      </c>
      <c r="Q34" s="182">
        <f t="shared" si="4"/>
        <v>0</v>
      </c>
      <c r="R34" s="182">
        <f t="shared" si="4"/>
        <v>0</v>
      </c>
      <c r="S34" s="182">
        <f t="shared" si="4"/>
        <v>0</v>
      </c>
      <c r="T34" s="182">
        <f t="shared" si="4"/>
        <v>0</v>
      </c>
      <c r="U34" s="182">
        <f t="shared" si="4"/>
        <v>0</v>
      </c>
      <c r="V34" s="182">
        <f t="shared" si="4"/>
        <v>0</v>
      </c>
      <c r="W34" s="182">
        <f t="shared" si="4"/>
        <v>0</v>
      </c>
      <c r="X34" s="182">
        <f t="shared" ref="F34:AG36" si="7">+X16*X$22</f>
        <v>0</v>
      </c>
      <c r="Y34" s="182">
        <f t="shared" si="7"/>
        <v>0</v>
      </c>
      <c r="Z34" s="182">
        <f t="shared" si="7"/>
        <v>0</v>
      </c>
      <c r="AA34" s="182">
        <f t="shared" si="7"/>
        <v>0</v>
      </c>
      <c r="AB34" s="182">
        <f t="shared" si="7"/>
        <v>0</v>
      </c>
      <c r="AC34" s="182">
        <f t="shared" si="7"/>
        <v>0</v>
      </c>
      <c r="AD34" s="182">
        <f t="shared" si="7"/>
        <v>0</v>
      </c>
      <c r="AE34" s="182">
        <f t="shared" si="7"/>
        <v>0</v>
      </c>
      <c r="AF34" s="182">
        <f t="shared" si="7"/>
        <v>0</v>
      </c>
      <c r="AG34" s="183">
        <f t="shared" si="7"/>
        <v>0</v>
      </c>
      <c r="AH34" s="158"/>
      <c r="AI34" s="184">
        <f t="shared" si="5"/>
        <v>240</v>
      </c>
      <c r="AJ34" s="158"/>
    </row>
    <row r="35" spans="1:36" ht="15" x14ac:dyDescent="0.25">
      <c r="A35" s="219"/>
      <c r="B35" s="19" t="s">
        <v>80</v>
      </c>
      <c r="C35" s="180"/>
      <c r="E35" s="189">
        <f t="shared" si="6"/>
        <v>4.6409400000000005</v>
      </c>
      <c r="F35" s="190">
        <f t="shared" si="7"/>
        <v>4.6409400000000005</v>
      </c>
      <c r="G35" s="190">
        <f t="shared" si="7"/>
        <v>4.6409400000000005</v>
      </c>
      <c r="H35" s="190">
        <f t="shared" si="7"/>
        <v>4.6409400000000005</v>
      </c>
      <c r="I35" s="190">
        <f t="shared" si="7"/>
        <v>4.6409400000000005</v>
      </c>
      <c r="J35" s="190">
        <f t="shared" si="7"/>
        <v>4.6409400000000005</v>
      </c>
      <c r="K35" s="190">
        <f t="shared" si="7"/>
        <v>4.6409400000000005</v>
      </c>
      <c r="L35" s="190">
        <f t="shared" si="7"/>
        <v>4.6409400000000005</v>
      </c>
      <c r="M35" s="190">
        <f t="shared" si="7"/>
        <v>0</v>
      </c>
      <c r="N35" s="190">
        <f t="shared" si="7"/>
        <v>0</v>
      </c>
      <c r="O35" s="190">
        <f t="shared" si="7"/>
        <v>0</v>
      </c>
      <c r="P35" s="190">
        <f t="shared" si="7"/>
        <v>0</v>
      </c>
      <c r="Q35" s="190">
        <f t="shared" si="7"/>
        <v>0</v>
      </c>
      <c r="R35" s="190">
        <f t="shared" si="7"/>
        <v>0</v>
      </c>
      <c r="S35" s="190">
        <f t="shared" si="7"/>
        <v>0</v>
      </c>
      <c r="T35" s="190">
        <f t="shared" si="7"/>
        <v>0</v>
      </c>
      <c r="U35" s="190">
        <f t="shared" si="7"/>
        <v>0</v>
      </c>
      <c r="V35" s="190">
        <f t="shared" si="7"/>
        <v>0</v>
      </c>
      <c r="W35" s="190">
        <f t="shared" si="7"/>
        <v>0</v>
      </c>
      <c r="X35" s="190">
        <f t="shared" si="7"/>
        <v>0</v>
      </c>
      <c r="Y35" s="190">
        <f t="shared" si="7"/>
        <v>0</v>
      </c>
      <c r="Z35" s="190">
        <f t="shared" si="7"/>
        <v>0</v>
      </c>
      <c r="AA35" s="190">
        <f t="shared" si="7"/>
        <v>0</v>
      </c>
      <c r="AB35" s="190">
        <f t="shared" si="7"/>
        <v>0</v>
      </c>
      <c r="AC35" s="190">
        <f t="shared" si="7"/>
        <v>0</v>
      </c>
      <c r="AD35" s="190">
        <f t="shared" si="7"/>
        <v>0</v>
      </c>
      <c r="AE35" s="190">
        <f t="shared" si="7"/>
        <v>0</v>
      </c>
      <c r="AF35" s="190">
        <f t="shared" si="7"/>
        <v>0</v>
      </c>
      <c r="AG35" s="191">
        <f t="shared" si="7"/>
        <v>0</v>
      </c>
      <c r="AH35" s="158"/>
      <c r="AI35" s="192">
        <f t="shared" si="5"/>
        <v>37.127520000000004</v>
      </c>
      <c r="AJ35" s="158"/>
    </row>
    <row r="36" spans="1:36" ht="15" x14ac:dyDescent="0.25">
      <c r="A36" s="45" t="s">
        <v>145</v>
      </c>
      <c r="B36" s="46" t="s">
        <v>82</v>
      </c>
      <c r="E36" s="189">
        <f t="shared" si="6"/>
        <v>6.6240000000000007E-2</v>
      </c>
      <c r="F36" s="190">
        <f t="shared" si="7"/>
        <v>6.6240000000000007E-2</v>
      </c>
      <c r="G36" s="190">
        <f t="shared" si="7"/>
        <v>6.6240000000000007E-2</v>
      </c>
      <c r="H36" s="190">
        <f t="shared" si="7"/>
        <v>6.6240000000000007E-2</v>
      </c>
      <c r="I36" s="190">
        <f t="shared" si="7"/>
        <v>6.6240000000000007E-2</v>
      </c>
      <c r="J36" s="190">
        <f t="shared" si="7"/>
        <v>6.6240000000000007E-2</v>
      </c>
      <c r="K36" s="190">
        <f t="shared" si="7"/>
        <v>6.6240000000000007E-2</v>
      </c>
      <c r="L36" s="190">
        <f t="shared" si="7"/>
        <v>6.6240000000000007E-2</v>
      </c>
      <c r="M36" s="190">
        <f t="shared" si="7"/>
        <v>0</v>
      </c>
      <c r="N36" s="190">
        <f t="shared" si="7"/>
        <v>0</v>
      </c>
      <c r="O36" s="190">
        <f t="shared" si="7"/>
        <v>0</v>
      </c>
      <c r="P36" s="190">
        <f t="shared" si="7"/>
        <v>0</v>
      </c>
      <c r="Q36" s="190">
        <f t="shared" si="7"/>
        <v>0</v>
      </c>
      <c r="R36" s="190">
        <f t="shared" si="7"/>
        <v>0</v>
      </c>
      <c r="S36" s="190">
        <f t="shared" si="7"/>
        <v>0</v>
      </c>
      <c r="T36" s="190">
        <f t="shared" si="7"/>
        <v>0</v>
      </c>
      <c r="U36" s="190">
        <f t="shared" si="7"/>
        <v>0</v>
      </c>
      <c r="V36" s="190">
        <f t="shared" si="7"/>
        <v>0</v>
      </c>
      <c r="W36" s="190">
        <f t="shared" si="7"/>
        <v>0</v>
      </c>
      <c r="X36" s="190">
        <f t="shared" si="7"/>
        <v>0</v>
      </c>
      <c r="Y36" s="190">
        <f t="shared" si="7"/>
        <v>0</v>
      </c>
      <c r="Z36" s="190">
        <f t="shared" si="7"/>
        <v>0</v>
      </c>
      <c r="AA36" s="190">
        <f t="shared" si="7"/>
        <v>0</v>
      </c>
      <c r="AB36" s="190">
        <f t="shared" si="7"/>
        <v>0</v>
      </c>
      <c r="AC36" s="190">
        <f t="shared" si="7"/>
        <v>0</v>
      </c>
      <c r="AD36" s="190">
        <f t="shared" si="7"/>
        <v>0</v>
      </c>
      <c r="AE36" s="190">
        <f t="shared" si="7"/>
        <v>0</v>
      </c>
      <c r="AF36" s="190">
        <f t="shared" si="7"/>
        <v>0</v>
      </c>
      <c r="AG36" s="191">
        <f t="shared" si="7"/>
        <v>0</v>
      </c>
      <c r="AI36" s="186">
        <f t="shared" si="5"/>
        <v>0.52992000000000006</v>
      </c>
      <c r="AJ36" s="158"/>
    </row>
    <row r="37" spans="1:36" ht="14.45" customHeight="1" x14ac:dyDescent="0.25">
      <c r="B37" s="156" t="s">
        <v>143</v>
      </c>
      <c r="C37" s="161"/>
      <c r="E37" s="193">
        <f t="shared" ref="E37:AG37" si="8">SUM(E25:E36)</f>
        <v>2082.2906800000001</v>
      </c>
      <c r="F37" s="193">
        <f t="shared" si="8"/>
        <v>100.90821311204763</v>
      </c>
      <c r="G37" s="193">
        <f t="shared" si="8"/>
        <v>68.748371911150073</v>
      </c>
      <c r="H37" s="193">
        <f t="shared" si="8"/>
        <v>34.707180000000001</v>
      </c>
      <c r="I37" s="193">
        <f t="shared" si="8"/>
        <v>34.707180000000001</v>
      </c>
      <c r="J37" s="193">
        <f t="shared" si="8"/>
        <v>34.707180000000001</v>
      </c>
      <c r="K37" s="193">
        <f t="shared" si="8"/>
        <v>34.707180000000001</v>
      </c>
      <c r="L37" s="193">
        <f t="shared" si="8"/>
        <v>34.707180000000001</v>
      </c>
      <c r="M37" s="193">
        <f t="shared" si="8"/>
        <v>0</v>
      </c>
      <c r="N37" s="193">
        <f t="shared" si="8"/>
        <v>0</v>
      </c>
      <c r="O37" s="193">
        <f t="shared" si="8"/>
        <v>0</v>
      </c>
      <c r="P37" s="193">
        <f t="shared" si="8"/>
        <v>0</v>
      </c>
      <c r="Q37" s="193">
        <f t="shared" si="8"/>
        <v>0</v>
      </c>
      <c r="R37" s="193">
        <f t="shared" si="8"/>
        <v>0</v>
      </c>
      <c r="S37" s="193">
        <f t="shared" si="8"/>
        <v>0</v>
      </c>
      <c r="T37" s="193">
        <f t="shared" si="8"/>
        <v>0</v>
      </c>
      <c r="U37" s="193">
        <f t="shared" si="8"/>
        <v>0</v>
      </c>
      <c r="V37" s="193">
        <f t="shared" si="8"/>
        <v>0</v>
      </c>
      <c r="W37" s="193">
        <f t="shared" si="8"/>
        <v>0</v>
      </c>
      <c r="X37" s="193">
        <f t="shared" si="8"/>
        <v>0</v>
      </c>
      <c r="Y37" s="193">
        <f t="shared" si="8"/>
        <v>0</v>
      </c>
      <c r="Z37" s="193">
        <f t="shared" si="8"/>
        <v>0</v>
      </c>
      <c r="AA37" s="193">
        <f t="shared" si="8"/>
        <v>0</v>
      </c>
      <c r="AB37" s="193">
        <f t="shared" si="8"/>
        <v>0</v>
      </c>
      <c r="AC37" s="193">
        <f t="shared" si="8"/>
        <v>0</v>
      </c>
      <c r="AD37" s="193">
        <f t="shared" si="8"/>
        <v>0</v>
      </c>
      <c r="AE37" s="193">
        <f t="shared" si="8"/>
        <v>0</v>
      </c>
      <c r="AF37" s="193">
        <f t="shared" si="8"/>
        <v>0</v>
      </c>
      <c r="AG37" s="193">
        <f t="shared" si="8"/>
        <v>0</v>
      </c>
      <c r="AH37" s="158"/>
      <c r="AI37" s="194">
        <f>+SUM(E37:AG37)</f>
        <v>2425.4831650231972</v>
      </c>
    </row>
    <row r="38" spans="1:36" ht="14.45" customHeight="1" x14ac:dyDescent="0.25"/>
    <row r="39" spans="1:36" ht="14.45" customHeight="1" x14ac:dyDescent="0.25"/>
    <row r="40" spans="1:36" ht="14.45" customHeight="1" x14ac:dyDescent="0.25"/>
    <row r="41" spans="1:36" ht="14.45" customHeight="1" x14ac:dyDescent="0.25"/>
    <row r="42" spans="1:36" ht="14.45" customHeight="1" x14ac:dyDescent="0.25"/>
    <row r="43" spans="1:36" ht="14.45" customHeight="1" x14ac:dyDescent="0.25"/>
    <row r="44" spans="1:36" ht="14.45" customHeight="1" x14ac:dyDescent="0.25"/>
    <row r="45" spans="1:36" ht="14.45" customHeight="1" x14ac:dyDescent="0.25"/>
    <row r="46" spans="1:36" ht="14.45" customHeight="1" x14ac:dyDescent="0.25"/>
    <row r="47" spans="1:36" ht="14.45" customHeight="1" x14ac:dyDescent="0.25"/>
    <row r="48" spans="1:36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  <row r="80" ht="14.45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14.45" customHeight="1" x14ac:dyDescent="0.25"/>
    <row r="86" ht="14.45" customHeight="1" x14ac:dyDescent="0.25"/>
    <row r="87" ht="14.45" customHeight="1" x14ac:dyDescent="0.25"/>
    <row r="88" ht="14.45" customHeight="1" x14ac:dyDescent="0.25"/>
  </sheetData>
  <mergeCells count="11">
    <mergeCell ref="A10:A15"/>
    <mergeCell ref="A1:B1"/>
    <mergeCell ref="A3:B3"/>
    <mergeCell ref="A4:AI4"/>
    <mergeCell ref="A6:B6"/>
    <mergeCell ref="A7:A9"/>
    <mergeCell ref="A16:A17"/>
    <mergeCell ref="A24:B24"/>
    <mergeCell ref="A25:A27"/>
    <mergeCell ref="A28:A33"/>
    <mergeCell ref="A34:A3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610E25-55EE-4D54-A736-E8E532405C35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3ffcbdd-96e7-4382-b510-0d674d67940b"/>
    <ds:schemaRef ds:uri="http://schemas.microsoft.com/office/2006/documentManagement/types"/>
    <ds:schemaRef ds:uri="http://purl.org/dc/elements/1.1/"/>
    <ds:schemaRef ds:uri="d4b2f266-c533-457a-89d9-a5c40a6bf05c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810979-CE8C-4C5B-9092-B49190E91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Parametros</vt:lpstr>
      <vt:lpstr>CTP</vt:lpstr>
      <vt:lpstr>CTP Valor Presente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