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ENTREGA FINAL GMUE/CTPs Versión Final/"/>
    </mc:Choice>
  </mc:AlternateContent>
  <xr:revisionPtr revIDLastSave="2572" documentId="13_ncr:1_{CEA948B0-32DB-4705-A5CB-EF4AF41CDAF4}" xr6:coauthVersionLast="47" xr6:coauthVersionMax="47" xr10:uidLastSave="{2019E364-E440-4608-B1FF-7394FF3851B3}"/>
  <bookViews>
    <workbookView xWindow="-120" yWindow="-120" windowWidth="29040" windowHeight="15840" xr2:uid="{C8F52692-B7BF-436D-B710-11CBC04E3B5E}"/>
  </bookViews>
  <sheets>
    <sheet name="Instrucciones" sheetId="5" r:id="rId1"/>
    <sheet name="Parametros" sheetId="1" r:id="rId2"/>
    <sheet name="CTP" sheetId="2" r:id="rId3"/>
    <sheet name="CTP Valor Presente" sheetId="4" r:id="rId4"/>
    <sheet name="Fuentes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0" i="1" l="1"/>
  <c r="E12" i="2"/>
  <c r="C12" i="2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00" i="1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E20" i="4"/>
  <c r="C155" i="1"/>
  <c r="C157" i="1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E17" i="4"/>
  <c r="K16" i="4"/>
  <c r="J16" i="4"/>
  <c r="I16" i="4"/>
  <c r="H16" i="4"/>
  <c r="G16" i="4"/>
  <c r="F16" i="4"/>
  <c r="E16" i="4"/>
  <c r="E15" i="4"/>
  <c r="E14" i="4"/>
  <c r="E13" i="4"/>
  <c r="E12" i="4"/>
  <c r="M11" i="4"/>
  <c r="E10" i="4"/>
  <c r="E9" i="4"/>
  <c r="AI9" i="4" s="1"/>
  <c r="E8" i="4"/>
  <c r="E7" i="4"/>
  <c r="K57" i="4"/>
  <c r="J57" i="4"/>
  <c r="I57" i="4"/>
  <c r="H57" i="4"/>
  <c r="G57" i="4"/>
  <c r="F57" i="4"/>
  <c r="E57" i="4"/>
  <c r="E55" i="4"/>
  <c r="E54" i="4"/>
  <c r="E53" i="4"/>
  <c r="M52" i="4"/>
  <c r="E51" i="4"/>
  <c r="E50" i="4"/>
  <c r="E49" i="4"/>
  <c r="E48" i="4"/>
  <c r="AI13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AI10" i="4"/>
  <c r="G6" i="4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F6" i="4"/>
  <c r="E7" i="2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E58" i="4"/>
  <c r="E61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F61" i="4"/>
  <c r="C156" i="1"/>
  <c r="E60" i="4"/>
  <c r="C53" i="1"/>
  <c r="C44" i="1"/>
  <c r="C64" i="1"/>
  <c r="E4" i="2"/>
  <c r="AI17" i="4" l="1"/>
  <c r="AI14" i="4"/>
  <c r="AI16" i="4"/>
  <c r="AI12" i="4"/>
  <c r="AI8" i="4"/>
  <c r="AI49" i="4"/>
  <c r="AI18" i="4"/>
  <c r="AI20" i="4"/>
  <c r="AI7" i="4"/>
  <c r="AI11" i="4"/>
  <c r="AI15" i="4"/>
  <c r="AI58" i="4"/>
  <c r="AI61" i="4"/>
  <c r="F65" i="4"/>
  <c r="F47" i="4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AC47" i="4" s="1"/>
  <c r="AD47" i="4" s="1"/>
  <c r="AE47" i="4" s="1"/>
  <c r="AF47" i="4" s="1"/>
  <c r="AG47" i="4" s="1"/>
  <c r="F31" i="4" l="1"/>
  <c r="F34" i="4"/>
  <c r="F29" i="4"/>
  <c r="F37" i="4"/>
  <c r="F40" i="4"/>
  <c r="F32" i="4"/>
  <c r="F27" i="4"/>
  <c r="F35" i="4"/>
  <c r="F30" i="4"/>
  <c r="F38" i="4"/>
  <c r="F33" i="4"/>
  <c r="F28" i="4"/>
  <c r="F36" i="4"/>
  <c r="F78" i="4"/>
  <c r="F69" i="4"/>
  <c r="F71" i="4"/>
  <c r="F73" i="4"/>
  <c r="F75" i="4"/>
  <c r="F81" i="4"/>
  <c r="F74" i="4"/>
  <c r="F68" i="4"/>
  <c r="F70" i="4"/>
  <c r="F72" i="4"/>
  <c r="F76" i="4"/>
  <c r="T65" i="4"/>
  <c r="M65" i="4"/>
  <c r="L65" i="4"/>
  <c r="AC65" i="4"/>
  <c r="AB65" i="4"/>
  <c r="U65" i="4"/>
  <c r="AA65" i="4"/>
  <c r="S65" i="4"/>
  <c r="K65" i="4"/>
  <c r="E65" i="4"/>
  <c r="Z65" i="4"/>
  <c r="R65" i="4"/>
  <c r="J65" i="4"/>
  <c r="AG65" i="4"/>
  <c r="Y65" i="4"/>
  <c r="Q65" i="4"/>
  <c r="I65" i="4"/>
  <c r="AF65" i="4"/>
  <c r="X65" i="4"/>
  <c r="P65" i="4"/>
  <c r="H65" i="4"/>
  <c r="AE65" i="4"/>
  <c r="W65" i="4"/>
  <c r="O65" i="4"/>
  <c r="G65" i="4"/>
  <c r="AD65" i="4"/>
  <c r="V65" i="4"/>
  <c r="N65" i="4"/>
  <c r="H37" i="4" l="1"/>
  <c r="H40" i="4"/>
  <c r="H32" i="4"/>
  <c r="H27" i="4"/>
  <c r="H35" i="4"/>
  <c r="H30" i="4"/>
  <c r="H38" i="4"/>
  <c r="H33" i="4"/>
  <c r="H28" i="4"/>
  <c r="H36" i="4"/>
  <c r="H31" i="4"/>
  <c r="H34" i="4"/>
  <c r="H29" i="4"/>
  <c r="J35" i="4"/>
  <c r="J30" i="4"/>
  <c r="J38" i="4"/>
  <c r="J33" i="4"/>
  <c r="J28" i="4"/>
  <c r="J36" i="4"/>
  <c r="J31" i="4"/>
  <c r="J34" i="4"/>
  <c r="J29" i="4"/>
  <c r="J37" i="4"/>
  <c r="J40" i="4"/>
  <c r="J32" i="4"/>
  <c r="J27" i="4"/>
  <c r="AB33" i="4"/>
  <c r="AB28" i="4"/>
  <c r="AB36" i="4"/>
  <c r="AB39" i="4"/>
  <c r="AB31" i="4"/>
  <c r="AB34" i="4"/>
  <c r="AB29" i="4"/>
  <c r="AB37" i="4"/>
  <c r="AB40" i="4"/>
  <c r="AB32" i="4"/>
  <c r="AB27" i="4"/>
  <c r="AB35" i="4"/>
  <c r="AB30" i="4"/>
  <c r="AB38" i="4"/>
  <c r="O34" i="4"/>
  <c r="O29" i="4"/>
  <c r="O37" i="4"/>
  <c r="O40" i="4"/>
  <c r="O32" i="4"/>
  <c r="O27" i="4"/>
  <c r="O35" i="4"/>
  <c r="O30" i="4"/>
  <c r="O38" i="4"/>
  <c r="O33" i="4"/>
  <c r="O28" i="4"/>
  <c r="O36" i="4"/>
  <c r="O31" i="4"/>
  <c r="S38" i="4"/>
  <c r="S33" i="4"/>
  <c r="S28" i="4"/>
  <c r="S36" i="4"/>
  <c r="S31" i="4"/>
  <c r="S34" i="4"/>
  <c r="S29" i="4"/>
  <c r="S37" i="4"/>
  <c r="S40" i="4"/>
  <c r="S32" i="4"/>
  <c r="S27" i="4"/>
  <c r="S35" i="4"/>
  <c r="S30" i="4"/>
  <c r="Y40" i="4"/>
  <c r="Y32" i="4"/>
  <c r="Y27" i="4"/>
  <c r="Y35" i="4"/>
  <c r="Y30" i="4"/>
  <c r="Y38" i="4"/>
  <c r="Y33" i="4"/>
  <c r="Y28" i="4"/>
  <c r="Y36" i="4"/>
  <c r="Y39" i="4"/>
  <c r="Y31" i="4"/>
  <c r="Y34" i="4"/>
  <c r="Y29" i="4"/>
  <c r="Y37" i="4"/>
  <c r="AE34" i="4"/>
  <c r="AE29" i="4"/>
  <c r="AE37" i="4"/>
  <c r="AE40" i="4"/>
  <c r="AE32" i="4"/>
  <c r="AE27" i="4"/>
  <c r="AE35" i="4"/>
  <c r="AE30" i="4"/>
  <c r="AE38" i="4"/>
  <c r="AE33" i="4"/>
  <c r="AE28" i="4"/>
  <c r="AE36" i="4"/>
  <c r="AE39" i="4"/>
  <c r="AE31" i="4"/>
  <c r="R35" i="4"/>
  <c r="R30" i="4"/>
  <c r="R38" i="4"/>
  <c r="R33" i="4"/>
  <c r="R28" i="4"/>
  <c r="R36" i="4"/>
  <c r="R31" i="4"/>
  <c r="R34" i="4"/>
  <c r="R29" i="4"/>
  <c r="R37" i="4"/>
  <c r="R40" i="4"/>
  <c r="R32" i="4"/>
  <c r="R27" i="4"/>
  <c r="AC36" i="4"/>
  <c r="AC39" i="4"/>
  <c r="AC31" i="4"/>
  <c r="AC34" i="4"/>
  <c r="AC29" i="4"/>
  <c r="AC37" i="4"/>
  <c r="AC40" i="4"/>
  <c r="AC32" i="4"/>
  <c r="AC27" i="4"/>
  <c r="AC35" i="4"/>
  <c r="AC30" i="4"/>
  <c r="AC38" i="4"/>
  <c r="AC33" i="4"/>
  <c r="AC28" i="4"/>
  <c r="W34" i="4"/>
  <c r="W29" i="4"/>
  <c r="W37" i="4"/>
  <c r="W40" i="4"/>
  <c r="W32" i="4"/>
  <c r="W27" i="4"/>
  <c r="W35" i="4"/>
  <c r="W30" i="4"/>
  <c r="W38" i="4"/>
  <c r="W33" i="4"/>
  <c r="W28" i="4"/>
  <c r="W36" i="4"/>
  <c r="W39" i="4"/>
  <c r="W31" i="4"/>
  <c r="U36" i="4"/>
  <c r="U39" i="4"/>
  <c r="U31" i="4"/>
  <c r="U34" i="4"/>
  <c r="U29" i="4"/>
  <c r="U37" i="4"/>
  <c r="U40" i="4"/>
  <c r="U32" i="4"/>
  <c r="U27" i="4"/>
  <c r="U35" i="4"/>
  <c r="U30" i="4"/>
  <c r="U38" i="4"/>
  <c r="U33" i="4"/>
  <c r="U28" i="4"/>
  <c r="V39" i="4"/>
  <c r="V31" i="4"/>
  <c r="V34" i="4"/>
  <c r="V29" i="4"/>
  <c r="V37" i="4"/>
  <c r="V40" i="4"/>
  <c r="V32" i="4"/>
  <c r="V27" i="4"/>
  <c r="V35" i="4"/>
  <c r="V30" i="4"/>
  <c r="V38" i="4"/>
  <c r="V33" i="4"/>
  <c r="V28" i="4"/>
  <c r="V36" i="4"/>
  <c r="L33" i="4"/>
  <c r="L28" i="4"/>
  <c r="L36" i="4"/>
  <c r="L31" i="4"/>
  <c r="L34" i="4"/>
  <c r="L29" i="4"/>
  <c r="L37" i="4"/>
  <c r="L40" i="4"/>
  <c r="L32" i="4"/>
  <c r="L27" i="4"/>
  <c r="L35" i="4"/>
  <c r="L30" i="4"/>
  <c r="L38" i="4"/>
  <c r="Q40" i="4"/>
  <c r="Q32" i="4"/>
  <c r="Q27" i="4"/>
  <c r="Q35" i="4"/>
  <c r="Q30" i="4"/>
  <c r="Q38" i="4"/>
  <c r="Q33" i="4"/>
  <c r="Q28" i="4"/>
  <c r="Q36" i="4"/>
  <c r="Q31" i="4"/>
  <c r="Q34" i="4"/>
  <c r="Q29" i="4"/>
  <c r="Q37" i="4"/>
  <c r="AA38" i="4"/>
  <c r="AA33" i="4"/>
  <c r="AA28" i="4"/>
  <c r="AA36" i="4"/>
  <c r="AA39" i="4"/>
  <c r="AA31" i="4"/>
  <c r="AA34" i="4"/>
  <c r="AA29" i="4"/>
  <c r="AA37" i="4"/>
  <c r="AA40" i="4"/>
  <c r="AA32" i="4"/>
  <c r="AA27" i="4"/>
  <c r="AA35" i="4"/>
  <c r="AA30" i="4"/>
  <c r="P37" i="4"/>
  <c r="P40" i="4"/>
  <c r="P32" i="4"/>
  <c r="P27" i="4"/>
  <c r="P35" i="4"/>
  <c r="P30" i="4"/>
  <c r="P38" i="4"/>
  <c r="P33" i="4"/>
  <c r="P28" i="4"/>
  <c r="P36" i="4"/>
  <c r="P31" i="4"/>
  <c r="P34" i="4"/>
  <c r="P29" i="4"/>
  <c r="X37" i="4"/>
  <c r="X40" i="4"/>
  <c r="X32" i="4"/>
  <c r="X27" i="4"/>
  <c r="X35" i="4"/>
  <c r="X30" i="4"/>
  <c r="X38" i="4"/>
  <c r="X33" i="4"/>
  <c r="X28" i="4"/>
  <c r="X36" i="4"/>
  <c r="X39" i="4"/>
  <c r="X31" i="4"/>
  <c r="X34" i="4"/>
  <c r="X29" i="4"/>
  <c r="Z35" i="4"/>
  <c r="Z30" i="4"/>
  <c r="Z38" i="4"/>
  <c r="Z33" i="4"/>
  <c r="Z28" i="4"/>
  <c r="Z36" i="4"/>
  <c r="Z39" i="4"/>
  <c r="Z31" i="4"/>
  <c r="Z34" i="4"/>
  <c r="Z29" i="4"/>
  <c r="Z37" i="4"/>
  <c r="Z40" i="4"/>
  <c r="Z32" i="4"/>
  <c r="Z27" i="4"/>
  <c r="AD39" i="4"/>
  <c r="AD31" i="4"/>
  <c r="AD34" i="4"/>
  <c r="AD29" i="4"/>
  <c r="AD37" i="4"/>
  <c r="AD40" i="4"/>
  <c r="AD32" i="4"/>
  <c r="AD27" i="4"/>
  <c r="AD35" i="4"/>
  <c r="AD30" i="4"/>
  <c r="AD38" i="4"/>
  <c r="AD33" i="4"/>
  <c r="AD28" i="4"/>
  <c r="AD36" i="4"/>
  <c r="AF37" i="4"/>
  <c r="AF40" i="4"/>
  <c r="AF32" i="4"/>
  <c r="AF27" i="4"/>
  <c r="AF35" i="4"/>
  <c r="AF30" i="4"/>
  <c r="AF38" i="4"/>
  <c r="AF33" i="4"/>
  <c r="AF28" i="4"/>
  <c r="AF36" i="4"/>
  <c r="AF39" i="4"/>
  <c r="AF31" i="4"/>
  <c r="AF34" i="4"/>
  <c r="AF29" i="4"/>
  <c r="E36" i="4"/>
  <c r="E34" i="4"/>
  <c r="E29" i="4"/>
  <c r="E37" i="4"/>
  <c r="E40" i="4"/>
  <c r="E32" i="4"/>
  <c r="E27" i="4"/>
  <c r="E35" i="4"/>
  <c r="E30" i="4"/>
  <c r="E38" i="4"/>
  <c r="E33" i="4"/>
  <c r="E28" i="4"/>
  <c r="M36" i="4"/>
  <c r="M31" i="4"/>
  <c r="M34" i="4"/>
  <c r="M29" i="4"/>
  <c r="M37" i="4"/>
  <c r="M40" i="4"/>
  <c r="M32" i="4"/>
  <c r="M27" i="4"/>
  <c r="M35" i="4"/>
  <c r="M30" i="4"/>
  <c r="M38" i="4"/>
  <c r="M33" i="4"/>
  <c r="M28" i="4"/>
  <c r="AG40" i="4"/>
  <c r="AG32" i="4"/>
  <c r="AG27" i="4"/>
  <c r="AG35" i="4"/>
  <c r="AG30" i="4"/>
  <c r="AG38" i="4"/>
  <c r="AG33" i="4"/>
  <c r="AG28" i="4"/>
  <c r="AG36" i="4"/>
  <c r="AG39" i="4"/>
  <c r="AG31" i="4"/>
  <c r="AG34" i="4"/>
  <c r="AG29" i="4"/>
  <c r="AG37" i="4"/>
  <c r="N31" i="4"/>
  <c r="N34" i="4"/>
  <c r="N29" i="4"/>
  <c r="N37" i="4"/>
  <c r="N40" i="4"/>
  <c r="N32" i="4"/>
  <c r="N27" i="4"/>
  <c r="N35" i="4"/>
  <c r="N30" i="4"/>
  <c r="N38" i="4"/>
  <c r="N33" i="4"/>
  <c r="N28" i="4"/>
  <c r="N36" i="4"/>
  <c r="G34" i="4"/>
  <c r="G29" i="4"/>
  <c r="G37" i="4"/>
  <c r="G40" i="4"/>
  <c r="G32" i="4"/>
  <c r="G27" i="4"/>
  <c r="G35" i="4"/>
  <c r="G30" i="4"/>
  <c r="G38" i="4"/>
  <c r="G33" i="4"/>
  <c r="G28" i="4"/>
  <c r="G36" i="4"/>
  <c r="G31" i="4"/>
  <c r="I40" i="4"/>
  <c r="I32" i="4"/>
  <c r="I27" i="4"/>
  <c r="I35" i="4"/>
  <c r="I30" i="4"/>
  <c r="I38" i="4"/>
  <c r="I33" i="4"/>
  <c r="I28" i="4"/>
  <c r="I36" i="4"/>
  <c r="I31" i="4"/>
  <c r="I34" i="4"/>
  <c r="I29" i="4"/>
  <c r="I37" i="4"/>
  <c r="K38" i="4"/>
  <c r="K33" i="4"/>
  <c r="K28" i="4"/>
  <c r="K36" i="4"/>
  <c r="K31" i="4"/>
  <c r="K34" i="4"/>
  <c r="K29" i="4"/>
  <c r="K37" i="4"/>
  <c r="K40" i="4"/>
  <c r="K32" i="4"/>
  <c r="K27" i="4"/>
  <c r="K35" i="4"/>
  <c r="K30" i="4"/>
  <c r="T33" i="4"/>
  <c r="T28" i="4"/>
  <c r="T36" i="4"/>
  <c r="T31" i="4"/>
  <c r="T34" i="4"/>
  <c r="T29" i="4"/>
  <c r="T37" i="4"/>
  <c r="T40" i="4"/>
  <c r="T32" i="4"/>
  <c r="T27" i="4"/>
  <c r="T35" i="4"/>
  <c r="T30" i="4"/>
  <c r="T38" i="4"/>
  <c r="N72" i="4"/>
  <c r="N76" i="4"/>
  <c r="N69" i="4"/>
  <c r="N71" i="4"/>
  <c r="N73" i="4"/>
  <c r="N75" i="4"/>
  <c r="N77" i="4"/>
  <c r="N81" i="4"/>
  <c r="N68" i="4"/>
  <c r="N70" i="4"/>
  <c r="N74" i="4"/>
  <c r="N78" i="4"/>
  <c r="AC69" i="4"/>
  <c r="AC71" i="4"/>
  <c r="AC73" i="4"/>
  <c r="AC75" i="4"/>
  <c r="AC77" i="4"/>
  <c r="AC79" i="4"/>
  <c r="AC81" i="4"/>
  <c r="AC68" i="4"/>
  <c r="AC70" i="4"/>
  <c r="AC72" i="4"/>
  <c r="AC74" i="4"/>
  <c r="AC76" i="4"/>
  <c r="AC78" i="4"/>
  <c r="AC80" i="4"/>
  <c r="X70" i="4"/>
  <c r="X78" i="4"/>
  <c r="X80" i="4"/>
  <c r="X68" i="4"/>
  <c r="X76" i="4"/>
  <c r="X69" i="4"/>
  <c r="X71" i="4"/>
  <c r="X73" i="4"/>
  <c r="X75" i="4"/>
  <c r="X77" i="4"/>
  <c r="X79" i="4"/>
  <c r="X81" i="4"/>
  <c r="X72" i="4"/>
  <c r="X74" i="4"/>
  <c r="AF70" i="4"/>
  <c r="AF72" i="4"/>
  <c r="AF74" i="4"/>
  <c r="AF76" i="4"/>
  <c r="AF78" i="4"/>
  <c r="AF68" i="4"/>
  <c r="AF80" i="4"/>
  <c r="AF69" i="4"/>
  <c r="AF71" i="4"/>
  <c r="AF73" i="4"/>
  <c r="AF75" i="4"/>
  <c r="AF77" i="4"/>
  <c r="AF79" i="4"/>
  <c r="AF81" i="4"/>
  <c r="G68" i="4"/>
  <c r="G70" i="4"/>
  <c r="G72" i="4"/>
  <c r="G74" i="4"/>
  <c r="G76" i="4"/>
  <c r="G78" i="4"/>
  <c r="G69" i="4"/>
  <c r="G71" i="4"/>
  <c r="G73" i="4"/>
  <c r="G75" i="4"/>
  <c r="G81" i="4"/>
  <c r="T69" i="4"/>
  <c r="T77" i="4"/>
  <c r="T73" i="4"/>
  <c r="T71" i="4"/>
  <c r="T75" i="4"/>
  <c r="T68" i="4"/>
  <c r="T70" i="4"/>
  <c r="T72" i="4"/>
  <c r="T74" i="4"/>
  <c r="T76" i="4"/>
  <c r="T78" i="4"/>
  <c r="T81" i="4"/>
  <c r="R68" i="4"/>
  <c r="R70" i="4"/>
  <c r="R72" i="4"/>
  <c r="R74" i="4"/>
  <c r="R76" i="4"/>
  <c r="R78" i="4"/>
  <c r="R69" i="4"/>
  <c r="R73" i="4"/>
  <c r="R75" i="4"/>
  <c r="R77" i="4"/>
  <c r="R81" i="4"/>
  <c r="R71" i="4"/>
  <c r="V70" i="4"/>
  <c r="V69" i="4"/>
  <c r="V71" i="4"/>
  <c r="V73" i="4"/>
  <c r="V75" i="4"/>
  <c r="V77" i="4"/>
  <c r="V79" i="4"/>
  <c r="V81" i="4"/>
  <c r="V72" i="4"/>
  <c r="V76" i="4"/>
  <c r="V78" i="4"/>
  <c r="V80" i="4"/>
  <c r="V68" i="4"/>
  <c r="V74" i="4"/>
  <c r="L71" i="4"/>
  <c r="L69" i="4"/>
  <c r="L75" i="4"/>
  <c r="L77" i="4"/>
  <c r="L81" i="4"/>
  <c r="L73" i="4"/>
  <c r="L68" i="4"/>
  <c r="L70" i="4"/>
  <c r="L72" i="4"/>
  <c r="L74" i="4"/>
  <c r="L76" i="4"/>
  <c r="L78" i="4"/>
  <c r="E81" i="4"/>
  <c r="E80" i="4"/>
  <c r="E69" i="4"/>
  <c r="E78" i="4"/>
  <c r="K69" i="4"/>
  <c r="K71" i="4"/>
  <c r="K73" i="4"/>
  <c r="K75" i="4"/>
  <c r="K81" i="4"/>
  <c r="K68" i="4"/>
  <c r="K70" i="4"/>
  <c r="K72" i="4"/>
  <c r="K74" i="4"/>
  <c r="K76" i="4"/>
  <c r="K78" i="4"/>
  <c r="AA69" i="4"/>
  <c r="AA71" i="4"/>
  <c r="AA73" i="4"/>
  <c r="AA75" i="4"/>
  <c r="AA77" i="4"/>
  <c r="AA79" i="4"/>
  <c r="AA81" i="4"/>
  <c r="AA68" i="4"/>
  <c r="AA70" i="4"/>
  <c r="AA72" i="4"/>
  <c r="AA74" i="4"/>
  <c r="AA76" i="4"/>
  <c r="AA78" i="4"/>
  <c r="AA80" i="4"/>
  <c r="P68" i="4"/>
  <c r="P70" i="4"/>
  <c r="P72" i="4"/>
  <c r="P78" i="4"/>
  <c r="P74" i="4"/>
  <c r="P69" i="4"/>
  <c r="P71" i="4"/>
  <c r="P73" i="4"/>
  <c r="P75" i="4"/>
  <c r="P77" i="4"/>
  <c r="P81" i="4"/>
  <c r="P76" i="4"/>
  <c r="AD68" i="4"/>
  <c r="AD69" i="4"/>
  <c r="AD71" i="4"/>
  <c r="AD73" i="4"/>
  <c r="AD75" i="4"/>
  <c r="AD77" i="4"/>
  <c r="AD79" i="4"/>
  <c r="AD81" i="4"/>
  <c r="AD74" i="4"/>
  <c r="AD72" i="4"/>
  <c r="AD80" i="4"/>
  <c r="AD70" i="4"/>
  <c r="AD76" i="4"/>
  <c r="AD78" i="4"/>
  <c r="Q68" i="4"/>
  <c r="Q70" i="4"/>
  <c r="Q72" i="4"/>
  <c r="Q74" i="4"/>
  <c r="Q76" i="4"/>
  <c r="Q78" i="4"/>
  <c r="Q69" i="4"/>
  <c r="Q71" i="4"/>
  <c r="Q73" i="4"/>
  <c r="Q75" i="4"/>
  <c r="Q77" i="4"/>
  <c r="Q81" i="4"/>
  <c r="W68" i="4"/>
  <c r="W70" i="4"/>
  <c r="W72" i="4"/>
  <c r="W74" i="4"/>
  <c r="W76" i="4"/>
  <c r="W78" i="4"/>
  <c r="W80" i="4"/>
  <c r="W69" i="4"/>
  <c r="W71" i="4"/>
  <c r="W73" i="4"/>
  <c r="W75" i="4"/>
  <c r="W77" i="4"/>
  <c r="W79" i="4"/>
  <c r="W81" i="4"/>
  <c r="U69" i="4"/>
  <c r="U71" i="4"/>
  <c r="U73" i="4"/>
  <c r="U75" i="4"/>
  <c r="U77" i="4"/>
  <c r="U79" i="4"/>
  <c r="U81" i="4"/>
  <c r="U68" i="4"/>
  <c r="U70" i="4"/>
  <c r="U72" i="4"/>
  <c r="U74" i="4"/>
  <c r="U76" i="4"/>
  <c r="U78" i="4"/>
  <c r="U80" i="4"/>
  <c r="Z73" i="4"/>
  <c r="Z81" i="4"/>
  <c r="Z68" i="4"/>
  <c r="Z70" i="4"/>
  <c r="Z72" i="4"/>
  <c r="Z74" i="4"/>
  <c r="Z76" i="4"/>
  <c r="Z78" i="4"/>
  <c r="Z80" i="4"/>
  <c r="Z71" i="4"/>
  <c r="Z79" i="4"/>
  <c r="Z75" i="4"/>
  <c r="Z69" i="4"/>
  <c r="Z77" i="4"/>
  <c r="M69" i="4"/>
  <c r="M71" i="4"/>
  <c r="M73" i="4"/>
  <c r="M75" i="4"/>
  <c r="M77" i="4"/>
  <c r="M81" i="4"/>
  <c r="M68" i="4"/>
  <c r="M70" i="4"/>
  <c r="M74" i="4"/>
  <c r="M76" i="4"/>
  <c r="M78" i="4"/>
  <c r="I68" i="4"/>
  <c r="I70" i="4"/>
  <c r="I72" i="4"/>
  <c r="I74" i="4"/>
  <c r="I76" i="4"/>
  <c r="I78" i="4"/>
  <c r="I69" i="4"/>
  <c r="I71" i="4"/>
  <c r="I73" i="4"/>
  <c r="I75" i="4"/>
  <c r="I81" i="4"/>
  <c r="O68" i="4"/>
  <c r="O70" i="4"/>
  <c r="O72" i="4"/>
  <c r="O74" i="4"/>
  <c r="O76" i="4"/>
  <c r="O78" i="4"/>
  <c r="O69" i="4"/>
  <c r="O71" i="4"/>
  <c r="O73" i="4"/>
  <c r="O75" i="4"/>
  <c r="O77" i="4"/>
  <c r="O81" i="4"/>
  <c r="S69" i="4"/>
  <c r="S71" i="4"/>
  <c r="S73" i="4"/>
  <c r="S75" i="4"/>
  <c r="S77" i="4"/>
  <c r="S81" i="4"/>
  <c r="S68" i="4"/>
  <c r="S70" i="4"/>
  <c r="S72" i="4"/>
  <c r="S74" i="4"/>
  <c r="S76" i="4"/>
  <c r="S78" i="4"/>
  <c r="Y68" i="4"/>
  <c r="Y70" i="4"/>
  <c r="Y72" i="4"/>
  <c r="Y74" i="4"/>
  <c r="Y76" i="4"/>
  <c r="Y78" i="4"/>
  <c r="Y80" i="4"/>
  <c r="Y69" i="4"/>
  <c r="Y71" i="4"/>
  <c r="Y73" i="4"/>
  <c r="Y75" i="4"/>
  <c r="Y77" i="4"/>
  <c r="Y79" i="4"/>
  <c r="Y81" i="4"/>
  <c r="AE68" i="4"/>
  <c r="AE70" i="4"/>
  <c r="AE72" i="4"/>
  <c r="AE74" i="4"/>
  <c r="AE76" i="4"/>
  <c r="AE78" i="4"/>
  <c r="AE80" i="4"/>
  <c r="AE69" i="4"/>
  <c r="AE71" i="4"/>
  <c r="AE73" i="4"/>
  <c r="AE75" i="4"/>
  <c r="AE77" i="4"/>
  <c r="AE79" i="4"/>
  <c r="AE81" i="4"/>
  <c r="AG68" i="4"/>
  <c r="AG70" i="4"/>
  <c r="AG72" i="4"/>
  <c r="AG74" i="4"/>
  <c r="AG76" i="4"/>
  <c r="AG78" i="4"/>
  <c r="AG80" i="4"/>
  <c r="AG69" i="4"/>
  <c r="AG71" i="4"/>
  <c r="AG73" i="4"/>
  <c r="AG75" i="4"/>
  <c r="AG77" i="4"/>
  <c r="AG79" i="4"/>
  <c r="AG81" i="4"/>
  <c r="H68" i="4"/>
  <c r="H70" i="4"/>
  <c r="H74" i="4"/>
  <c r="H76" i="4"/>
  <c r="H72" i="4"/>
  <c r="H69" i="4"/>
  <c r="H71" i="4"/>
  <c r="H73" i="4"/>
  <c r="H75" i="4"/>
  <c r="H81" i="4"/>
  <c r="H78" i="4"/>
  <c r="J75" i="4"/>
  <c r="J68" i="4"/>
  <c r="J70" i="4"/>
  <c r="J72" i="4"/>
  <c r="J74" i="4"/>
  <c r="J76" i="4"/>
  <c r="J78" i="4"/>
  <c r="J71" i="4"/>
  <c r="J69" i="4"/>
  <c r="J73" i="4"/>
  <c r="J81" i="4"/>
  <c r="AB71" i="4"/>
  <c r="AB73" i="4"/>
  <c r="AB75" i="4"/>
  <c r="AB81" i="4"/>
  <c r="AB77" i="4"/>
  <c r="AB68" i="4"/>
  <c r="AB70" i="4"/>
  <c r="AB72" i="4"/>
  <c r="AB74" i="4"/>
  <c r="AB76" i="4"/>
  <c r="AB78" i="4"/>
  <c r="AB80" i="4"/>
  <c r="AB69" i="4"/>
  <c r="AB79" i="4"/>
  <c r="AI35" i="4" l="1"/>
  <c r="U41" i="4"/>
  <c r="AI31" i="4"/>
  <c r="AI29" i="4"/>
  <c r="AB41" i="4"/>
  <c r="W41" i="4"/>
  <c r="AI30" i="4"/>
  <c r="AI40" i="4"/>
  <c r="V41" i="4"/>
  <c r="Y41" i="4"/>
  <c r="AG41" i="4"/>
  <c r="AI28" i="4"/>
  <c r="AI37" i="4"/>
  <c r="AD41" i="4"/>
  <c r="Z41" i="4"/>
  <c r="X41" i="4"/>
  <c r="AC41" i="4"/>
  <c r="AI27" i="4"/>
  <c r="AI32" i="4"/>
  <c r="AI33" i="4"/>
  <c r="AF41" i="4"/>
  <c r="AE41" i="4"/>
  <c r="AI38" i="4"/>
  <c r="AI34" i="4"/>
  <c r="AI36" i="4"/>
  <c r="AA41" i="4"/>
  <c r="AE82" i="4"/>
  <c r="Z82" i="4"/>
  <c r="AI69" i="4"/>
  <c r="AF82" i="4"/>
  <c r="X82" i="4"/>
  <c r="AB82" i="4"/>
  <c r="U82" i="4"/>
  <c r="V82" i="4"/>
  <c r="AG82" i="4"/>
  <c r="AC82" i="4"/>
  <c r="AD82" i="4"/>
  <c r="Y82" i="4"/>
  <c r="AA82" i="4"/>
  <c r="AI78" i="4"/>
  <c r="AI81" i="4"/>
  <c r="W82" i="4"/>
  <c r="K100" i="1"/>
  <c r="E19" i="4"/>
  <c r="E39" i="4" l="1"/>
  <c r="E21" i="4"/>
  <c r="H101" i="1"/>
  <c r="F19" i="4" s="1"/>
  <c r="F39" i="4" l="1"/>
  <c r="F41" i="4" s="1"/>
  <c r="F21" i="4"/>
  <c r="E41" i="4"/>
  <c r="L100" i="1"/>
  <c r="B100" i="1"/>
  <c r="D100" i="1"/>
  <c r="B92" i="1"/>
  <c r="C92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B89" i="1"/>
  <c r="C89" i="1" s="1"/>
  <c r="E100" i="1" s="1"/>
  <c r="C91" i="1"/>
  <c r="C88" i="1"/>
  <c r="N100" i="1" l="1"/>
  <c r="M100" i="1"/>
  <c r="I100" i="1"/>
  <c r="E101" i="1"/>
  <c r="C86" i="1"/>
  <c r="C83" i="1"/>
  <c r="B101" i="1" s="1"/>
  <c r="C84" i="1"/>
  <c r="C47" i="1"/>
  <c r="E102" i="1" l="1"/>
  <c r="B140" i="2"/>
  <c r="E103" i="1" l="1"/>
  <c r="E97" i="2"/>
  <c r="I10" i="1"/>
  <c r="E104" i="1" l="1"/>
  <c r="I8" i="1"/>
  <c r="I7" i="1"/>
  <c r="H13" i="1"/>
  <c r="E105" i="1" l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D175" i="2"/>
  <c r="H11" i="1"/>
  <c r="I9" i="1"/>
  <c r="H9" i="1"/>
  <c r="I6" i="1"/>
  <c r="H6" i="1"/>
  <c r="E106" i="1" l="1"/>
  <c r="C3" i="2"/>
  <c r="C23" i="1"/>
  <c r="E107" i="1" l="1"/>
  <c r="C11" i="2"/>
  <c r="C9" i="2"/>
  <c r="C102" i="2" s="1"/>
  <c r="D102" i="2" s="1"/>
  <c r="C8" i="2"/>
  <c r="C10" i="2"/>
  <c r="C21" i="1"/>
  <c r="C105" i="2" l="1"/>
  <c r="E108" i="1"/>
  <c r="C103" i="2"/>
  <c r="D103" i="2" s="1"/>
  <c r="F36" i="2"/>
  <c r="F38" i="2"/>
  <c r="C20" i="1"/>
  <c r="I11" i="1" s="1"/>
  <c r="E109" i="1" l="1"/>
  <c r="F37" i="2"/>
  <c r="E3" i="2"/>
  <c r="E110" i="1" l="1"/>
  <c r="D101" i="1"/>
  <c r="E8" i="2"/>
  <c r="C18" i="2"/>
  <c r="C13" i="2"/>
  <c r="C42" i="2"/>
  <c r="C128" i="2" s="1"/>
  <c r="C43" i="2"/>
  <c r="C129" i="2" s="1"/>
  <c r="E11" i="2"/>
  <c r="E10" i="2"/>
  <c r="E9" i="2"/>
  <c r="N101" i="1" l="1"/>
  <c r="I101" i="1"/>
  <c r="H77" i="4"/>
  <c r="G77" i="4"/>
  <c r="AI48" i="4"/>
  <c r="E68" i="4"/>
  <c r="AI68" i="4" s="1"/>
  <c r="AI53" i="4"/>
  <c r="E73" i="4"/>
  <c r="AI73" i="4" s="1"/>
  <c r="AI54" i="4"/>
  <c r="E74" i="4"/>
  <c r="AI74" i="4" s="1"/>
  <c r="AI55" i="4"/>
  <c r="E75" i="4"/>
  <c r="AI75" i="4" s="1"/>
  <c r="E111" i="1"/>
  <c r="D102" i="1"/>
  <c r="E102" i="2"/>
  <c r="F102" i="2" s="1"/>
  <c r="E103" i="2"/>
  <c r="F103" i="2" s="1"/>
  <c r="D103" i="1" l="1"/>
  <c r="N102" i="1"/>
  <c r="I102" i="1"/>
  <c r="G60" i="4" s="1"/>
  <c r="G80" i="4" s="1"/>
  <c r="F60" i="4"/>
  <c r="I77" i="4"/>
  <c r="F77" i="4"/>
  <c r="AI57" i="4"/>
  <c r="E77" i="4"/>
  <c r="J77" i="4"/>
  <c r="K77" i="4"/>
  <c r="E112" i="1"/>
  <c r="E100" i="2"/>
  <c r="F100" i="2"/>
  <c r="F97" i="2"/>
  <c r="C55" i="1"/>
  <c r="F80" i="4" l="1"/>
  <c r="D104" i="1"/>
  <c r="N103" i="1"/>
  <c r="I103" i="1"/>
  <c r="AI77" i="4"/>
  <c r="E113" i="1"/>
  <c r="H14" i="1"/>
  <c r="C56" i="1"/>
  <c r="C57" i="1" s="1"/>
  <c r="E104" i="2"/>
  <c r="F104" i="2" s="1"/>
  <c r="D107" i="2"/>
  <c r="C97" i="2"/>
  <c r="D97" i="2" s="1"/>
  <c r="C98" i="2"/>
  <c r="D98" i="2" s="1"/>
  <c r="C99" i="2"/>
  <c r="D99" i="2" s="1"/>
  <c r="C100" i="2"/>
  <c r="D100" i="2" s="1"/>
  <c r="C104" i="2"/>
  <c r="C54" i="1"/>
  <c r="H60" i="4" l="1"/>
  <c r="D105" i="1"/>
  <c r="N104" i="1"/>
  <c r="I104" i="1"/>
  <c r="I60" i="4" s="1"/>
  <c r="I80" i="4" s="1"/>
  <c r="E114" i="1"/>
  <c r="C68" i="1"/>
  <c r="B139" i="2"/>
  <c r="B141" i="2"/>
  <c r="D174" i="2"/>
  <c r="D176" i="2"/>
  <c r="E13" i="2"/>
  <c r="C158" i="1"/>
  <c r="D42" i="2"/>
  <c r="F128" i="2" s="1"/>
  <c r="D43" i="2"/>
  <c r="F129" i="2" s="1"/>
  <c r="I53" i="1"/>
  <c r="I54" i="1"/>
  <c r="H56" i="1"/>
  <c r="H57" i="1" s="1"/>
  <c r="H64" i="1" s="1"/>
  <c r="H54" i="1"/>
  <c r="H53" i="1"/>
  <c r="D104" i="2"/>
  <c r="I56" i="1"/>
  <c r="I57" i="1" s="1"/>
  <c r="I64" i="1" s="1"/>
  <c r="D106" i="1" l="1"/>
  <c r="N105" i="1"/>
  <c r="I105" i="1"/>
  <c r="H80" i="4"/>
  <c r="E115" i="1"/>
  <c r="H130" i="2"/>
  <c r="H129" i="2"/>
  <c r="H128" i="2"/>
  <c r="E126" i="2"/>
  <c r="E128" i="2"/>
  <c r="E129" i="2"/>
  <c r="E130" i="2"/>
  <c r="E123" i="2"/>
  <c r="D131" i="2"/>
  <c r="D130" i="2"/>
  <c r="D129" i="2"/>
  <c r="G156" i="1"/>
  <c r="D128" i="2"/>
  <c r="G126" i="2"/>
  <c r="G130" i="2"/>
  <c r="G128" i="2"/>
  <c r="G129" i="2"/>
  <c r="H68" i="1"/>
  <c r="I68" i="1"/>
  <c r="E124" i="2"/>
  <c r="E133" i="2"/>
  <c r="E125" i="2"/>
  <c r="H123" i="2"/>
  <c r="J156" i="1"/>
  <c r="F109" i="2" s="1"/>
  <c r="H135" i="2" s="1"/>
  <c r="H126" i="2"/>
  <c r="D106" i="2"/>
  <c r="E132" i="2" s="1"/>
  <c r="H156" i="1"/>
  <c r="C106" i="2"/>
  <c r="D132" i="2" s="1"/>
  <c r="G123" i="2"/>
  <c r="D125" i="2"/>
  <c r="D126" i="2"/>
  <c r="D124" i="2"/>
  <c r="D123" i="2"/>
  <c r="D133" i="2"/>
  <c r="I156" i="1"/>
  <c r="D44" i="2"/>
  <c r="F130" i="2" s="1"/>
  <c r="J60" i="4" l="1"/>
  <c r="D107" i="1"/>
  <c r="N106" i="1"/>
  <c r="I106" i="1"/>
  <c r="K60" i="4" s="1"/>
  <c r="K80" i="4" s="1"/>
  <c r="E116" i="1"/>
  <c r="C109" i="2"/>
  <c r="D135" i="2" s="1"/>
  <c r="E109" i="2"/>
  <c r="G135" i="2" s="1"/>
  <c r="D109" i="2"/>
  <c r="E135" i="2" s="1"/>
  <c r="E6" i="2"/>
  <c r="E5" i="2"/>
  <c r="D108" i="1" l="1"/>
  <c r="N107" i="1"/>
  <c r="I107" i="1"/>
  <c r="J80" i="4"/>
  <c r="P59" i="4"/>
  <c r="H59" i="4"/>
  <c r="K59" i="4"/>
  <c r="J59" i="4"/>
  <c r="E59" i="4"/>
  <c r="G59" i="4"/>
  <c r="T59" i="4"/>
  <c r="O59" i="4"/>
  <c r="I59" i="4"/>
  <c r="M59" i="4"/>
  <c r="M79" i="4" s="1"/>
  <c r="F59" i="4"/>
  <c r="R59" i="4"/>
  <c r="L59" i="4"/>
  <c r="Q59" i="4"/>
  <c r="E14" i="2"/>
  <c r="N59" i="4"/>
  <c r="S59" i="4"/>
  <c r="AI51" i="4"/>
  <c r="E71" i="4"/>
  <c r="AI71" i="4" s="1"/>
  <c r="E117" i="1"/>
  <c r="E96" i="2"/>
  <c r="F96" i="2" s="1"/>
  <c r="H122" i="2" s="1"/>
  <c r="D39" i="2"/>
  <c r="F125" i="2" s="1"/>
  <c r="E99" i="2"/>
  <c r="E98" i="2"/>
  <c r="D36" i="2"/>
  <c r="F122" i="2" s="1"/>
  <c r="D38" i="2"/>
  <c r="F124" i="2" s="1"/>
  <c r="M104" i="1"/>
  <c r="L60" i="4" l="1"/>
  <c r="D109" i="1"/>
  <c r="N108" i="1"/>
  <c r="I108" i="1"/>
  <c r="M60" i="4" s="1"/>
  <c r="M80" i="4" s="1"/>
  <c r="T79" i="4"/>
  <c r="L62" i="4"/>
  <c r="L79" i="4"/>
  <c r="AI59" i="4"/>
  <c r="E79" i="4"/>
  <c r="Q79" i="4"/>
  <c r="R79" i="4"/>
  <c r="J79" i="4"/>
  <c r="J82" i="4" s="1"/>
  <c r="J62" i="4"/>
  <c r="G79" i="4"/>
  <c r="G82" i="4" s="1"/>
  <c r="G62" i="4"/>
  <c r="F79" i="4"/>
  <c r="F82" i="4" s="1"/>
  <c r="F62" i="4"/>
  <c r="K79" i="4"/>
  <c r="K82" i="4" s="1"/>
  <c r="K62" i="4"/>
  <c r="H79" i="4"/>
  <c r="H82" i="4" s="1"/>
  <c r="H62" i="4"/>
  <c r="S79" i="4"/>
  <c r="I79" i="4"/>
  <c r="I82" i="4" s="1"/>
  <c r="I62" i="4"/>
  <c r="P79" i="4"/>
  <c r="N79" i="4"/>
  <c r="O79" i="4"/>
  <c r="AI50" i="4"/>
  <c r="E70" i="4"/>
  <c r="AI70" i="4" s="1"/>
  <c r="E118" i="1"/>
  <c r="M105" i="1"/>
  <c r="M101" i="1"/>
  <c r="M102" i="1"/>
  <c r="M103" i="1"/>
  <c r="F107" i="2"/>
  <c r="E106" i="2"/>
  <c r="F106" i="2"/>
  <c r="G122" i="2"/>
  <c r="F98" i="2"/>
  <c r="H124" i="2" s="1"/>
  <c r="G124" i="2"/>
  <c r="F99" i="2"/>
  <c r="H125" i="2" s="1"/>
  <c r="G125" i="2"/>
  <c r="D41" i="2"/>
  <c r="F127" i="2" s="1"/>
  <c r="E101" i="2"/>
  <c r="H102" i="1"/>
  <c r="G19" i="4" s="1"/>
  <c r="K101" i="1"/>
  <c r="L101" i="1"/>
  <c r="C40" i="2"/>
  <c r="C126" i="2" s="1"/>
  <c r="C37" i="2"/>
  <c r="C123" i="2" s="1"/>
  <c r="C44" i="2"/>
  <c r="C130" i="2" s="1"/>
  <c r="C47" i="2"/>
  <c r="C133" i="2" s="1"/>
  <c r="C39" i="2"/>
  <c r="C125" i="2" s="1"/>
  <c r="C38" i="2"/>
  <c r="C124" i="2" s="1"/>
  <c r="C96" i="2"/>
  <c r="C36" i="2"/>
  <c r="C122" i="2" s="1"/>
  <c r="E18" i="2"/>
  <c r="C101" i="2"/>
  <c r="D127" i="2" s="1"/>
  <c r="D110" i="1" l="1"/>
  <c r="N109" i="1"/>
  <c r="I109" i="1"/>
  <c r="L80" i="4"/>
  <c r="L82" i="4" s="1"/>
  <c r="G39" i="4"/>
  <c r="G21" i="4"/>
  <c r="AI79" i="4"/>
  <c r="D40" i="2"/>
  <c r="F126" i="2" s="1"/>
  <c r="E119" i="1"/>
  <c r="M106" i="1"/>
  <c r="G36" i="2"/>
  <c r="H36" i="2" s="1"/>
  <c r="D37" i="2"/>
  <c r="F123" i="2" s="1"/>
  <c r="G38" i="2"/>
  <c r="H133" i="2"/>
  <c r="E107" i="2"/>
  <c r="G133" i="2" s="1"/>
  <c r="F101" i="2"/>
  <c r="H127" i="2" s="1"/>
  <c r="G127" i="2"/>
  <c r="K102" i="1"/>
  <c r="L102" i="1"/>
  <c r="D45" i="2"/>
  <c r="F131" i="2" s="1"/>
  <c r="E105" i="2"/>
  <c r="G131" i="2" s="1"/>
  <c r="C49" i="2"/>
  <c r="C135" i="2" s="1"/>
  <c r="H132" i="2"/>
  <c r="G132" i="2"/>
  <c r="D122" i="2"/>
  <c r="D101" i="2"/>
  <c r="E127" i="2" s="1"/>
  <c r="D96" i="2"/>
  <c r="C41" i="2"/>
  <c r="C127" i="2" s="1"/>
  <c r="D46" i="2"/>
  <c r="F132" i="2" s="1"/>
  <c r="D49" i="2"/>
  <c r="F135" i="2" s="1"/>
  <c r="C46" i="2"/>
  <c r="C132" i="2" s="1"/>
  <c r="D111" i="1" l="1"/>
  <c r="I110" i="1"/>
  <c r="O60" i="4" s="1"/>
  <c r="N110" i="1"/>
  <c r="N60" i="4"/>
  <c r="G41" i="4"/>
  <c r="AI52" i="4"/>
  <c r="M62" i="4"/>
  <c r="M72" i="4"/>
  <c r="E120" i="1"/>
  <c r="M107" i="1"/>
  <c r="G37" i="2"/>
  <c r="H38" i="2"/>
  <c r="K103" i="1"/>
  <c r="L103" i="1"/>
  <c r="H103" i="1"/>
  <c r="H19" i="4" s="1"/>
  <c r="F105" i="2"/>
  <c r="H131" i="2" s="1"/>
  <c r="E122" i="2"/>
  <c r="C45" i="2"/>
  <c r="C131" i="2" s="1"/>
  <c r="D47" i="2"/>
  <c r="F133" i="2" s="1"/>
  <c r="O80" i="4" l="1"/>
  <c r="O82" i="4" s="1"/>
  <c r="O62" i="4"/>
  <c r="N80" i="4"/>
  <c r="N82" i="4" s="1"/>
  <c r="N62" i="4"/>
  <c r="N111" i="1"/>
  <c r="I111" i="1"/>
  <c r="P60" i="4" s="1"/>
  <c r="D112" i="1"/>
  <c r="H39" i="4"/>
  <c r="H21" i="4"/>
  <c r="M82" i="4"/>
  <c r="AI72" i="4"/>
  <c r="E121" i="1"/>
  <c r="M108" i="1"/>
  <c r="H37" i="2"/>
  <c r="K104" i="1"/>
  <c r="L104" i="1"/>
  <c r="H104" i="1"/>
  <c r="I19" i="4" s="1"/>
  <c r="D105" i="2"/>
  <c r="E131" i="2" s="1"/>
  <c r="P80" i="4" l="1"/>
  <c r="P82" i="4" s="1"/>
  <c r="P62" i="4"/>
  <c r="D113" i="1"/>
  <c r="I112" i="1"/>
  <c r="Q60" i="4" s="1"/>
  <c r="N112" i="1"/>
  <c r="I39" i="4"/>
  <c r="I41" i="4" s="1"/>
  <c r="I21" i="4"/>
  <c r="H41" i="4"/>
  <c r="E122" i="1"/>
  <c r="M109" i="1"/>
  <c r="K105" i="1"/>
  <c r="L105" i="1"/>
  <c r="H105" i="1"/>
  <c r="J19" i="4" s="1"/>
  <c r="Q80" i="4" l="1"/>
  <c r="Q82" i="4" s="1"/>
  <c r="Q62" i="4"/>
  <c r="D114" i="1"/>
  <c r="I113" i="1"/>
  <c r="R60" i="4" s="1"/>
  <c r="N113" i="1"/>
  <c r="J39" i="4"/>
  <c r="J21" i="4"/>
  <c r="E123" i="1"/>
  <c r="M110" i="1"/>
  <c r="K106" i="1"/>
  <c r="L106" i="1"/>
  <c r="H106" i="1"/>
  <c r="K19" i="4" s="1"/>
  <c r="R80" i="4" l="1"/>
  <c r="R82" i="4" s="1"/>
  <c r="R62" i="4"/>
  <c r="D115" i="1"/>
  <c r="N114" i="1"/>
  <c r="I114" i="1"/>
  <c r="S60" i="4" s="1"/>
  <c r="K39" i="4"/>
  <c r="K41" i="4" s="1"/>
  <c r="K21" i="4"/>
  <c r="J41" i="4"/>
  <c r="E124" i="1"/>
  <c r="M111" i="1"/>
  <c r="K107" i="1"/>
  <c r="L107" i="1"/>
  <c r="H107" i="1"/>
  <c r="L19" i="4" s="1"/>
  <c r="S80" i="4" l="1"/>
  <c r="S82" i="4" s="1"/>
  <c r="S62" i="4"/>
  <c r="D116" i="1"/>
  <c r="I115" i="1"/>
  <c r="N115" i="1"/>
  <c r="L39" i="4"/>
  <c r="L41" i="4" s="1"/>
  <c r="L21" i="4"/>
  <c r="E125" i="1"/>
  <c r="M112" i="1"/>
  <c r="K108" i="1"/>
  <c r="L108" i="1"/>
  <c r="H108" i="1"/>
  <c r="M19" i="4" s="1"/>
  <c r="T60" i="4" l="1"/>
  <c r="E15" i="2"/>
  <c r="D117" i="1"/>
  <c r="N116" i="1"/>
  <c r="I116" i="1"/>
  <c r="M39" i="4"/>
  <c r="M41" i="4" s="1"/>
  <c r="M21" i="4"/>
  <c r="E126" i="1"/>
  <c r="M113" i="1"/>
  <c r="K109" i="1"/>
  <c r="L109" i="1"/>
  <c r="H109" i="1"/>
  <c r="N19" i="4" s="1"/>
  <c r="D118" i="1" l="1"/>
  <c r="I117" i="1"/>
  <c r="N117" i="1"/>
  <c r="T80" i="4"/>
  <c r="T62" i="4"/>
  <c r="AI60" i="4"/>
  <c r="N39" i="4"/>
  <c r="N41" i="4" s="1"/>
  <c r="N21" i="4"/>
  <c r="E127" i="1"/>
  <c r="M114" i="1"/>
  <c r="K110" i="1"/>
  <c r="L110" i="1"/>
  <c r="H110" i="1"/>
  <c r="O19" i="4" s="1"/>
  <c r="AI80" i="4" l="1"/>
  <c r="T82" i="4"/>
  <c r="D119" i="1"/>
  <c r="N118" i="1"/>
  <c r="I118" i="1"/>
  <c r="O39" i="4"/>
  <c r="O41" i="4" s="1"/>
  <c r="O21" i="4"/>
  <c r="E128" i="1"/>
  <c r="M115" i="1"/>
  <c r="K111" i="1"/>
  <c r="L111" i="1"/>
  <c r="H111" i="1"/>
  <c r="P19" i="4" s="1"/>
  <c r="D120" i="1" l="1"/>
  <c r="N119" i="1"/>
  <c r="I119" i="1"/>
  <c r="P39" i="4"/>
  <c r="P41" i="4" s="1"/>
  <c r="P21" i="4"/>
  <c r="M116" i="1"/>
  <c r="F9" i="2"/>
  <c r="K112" i="1"/>
  <c r="L112" i="1"/>
  <c r="H112" i="1"/>
  <c r="Q19" i="4" s="1"/>
  <c r="D121" i="1" l="1"/>
  <c r="N120" i="1"/>
  <c r="I120" i="1"/>
  <c r="Q21" i="4"/>
  <c r="Q39" i="4"/>
  <c r="Q41" i="4" s="1"/>
  <c r="M117" i="1"/>
  <c r="E21" i="2"/>
  <c r="E22" i="2" s="1"/>
  <c r="E16" i="2"/>
  <c r="F10" i="2"/>
  <c r="K113" i="1"/>
  <c r="L113" i="1"/>
  <c r="H113" i="1"/>
  <c r="R19" i="4" s="1"/>
  <c r="D122" i="1" l="1"/>
  <c r="N121" i="1"/>
  <c r="I121" i="1"/>
  <c r="R39" i="4"/>
  <c r="R41" i="4" s="1"/>
  <c r="R21" i="4"/>
  <c r="M118" i="1"/>
  <c r="K114" i="1"/>
  <c r="L114" i="1"/>
  <c r="H114" i="1"/>
  <c r="S19" i="4" s="1"/>
  <c r="D123" i="1" l="1"/>
  <c r="N122" i="1"/>
  <c r="I122" i="1"/>
  <c r="S39" i="4"/>
  <c r="S41" i="4" s="1"/>
  <c r="S21" i="4"/>
  <c r="M119" i="1"/>
  <c r="F108" i="2"/>
  <c r="E108" i="2"/>
  <c r="K115" i="1"/>
  <c r="C108" i="2" s="1"/>
  <c r="C111" i="2" s="1"/>
  <c r="C112" i="2" s="1"/>
  <c r="L115" i="1"/>
  <c r="D108" i="2" s="1"/>
  <c r="H115" i="1"/>
  <c r="T19" i="4" s="1"/>
  <c r="D124" i="1" l="1"/>
  <c r="N123" i="1"/>
  <c r="I123" i="1"/>
  <c r="T39" i="4"/>
  <c r="T21" i="4"/>
  <c r="AI21" i="4" s="1"/>
  <c r="AI19" i="4"/>
  <c r="M120" i="1"/>
  <c r="C15" i="2"/>
  <c r="D10" i="2" s="1"/>
  <c r="D115" i="2"/>
  <c r="D116" i="2" s="1"/>
  <c r="D111" i="2"/>
  <c r="D112" i="2" s="1"/>
  <c r="E134" i="2"/>
  <c r="E136" i="2" s="1"/>
  <c r="C110" i="2"/>
  <c r="D134" i="2"/>
  <c r="D136" i="2" s="1"/>
  <c r="C115" i="2"/>
  <c r="C116" i="2" s="1"/>
  <c r="F14" i="2"/>
  <c r="F15" i="2"/>
  <c r="F12" i="2"/>
  <c r="F13" i="2"/>
  <c r="F8" i="2"/>
  <c r="F11" i="2"/>
  <c r="E56" i="4" s="1"/>
  <c r="F6" i="2"/>
  <c r="F7" i="2"/>
  <c r="F4" i="2"/>
  <c r="F5" i="2"/>
  <c r="F3" i="2"/>
  <c r="G134" i="2"/>
  <c r="G136" i="2" s="1"/>
  <c r="E111" i="2"/>
  <c r="E112" i="2" s="1"/>
  <c r="E110" i="2"/>
  <c r="E115" i="2"/>
  <c r="E116" i="2" s="1"/>
  <c r="H134" i="2"/>
  <c r="H136" i="2" s="1"/>
  <c r="F111" i="2"/>
  <c r="F112" i="2" s="1"/>
  <c r="F115" i="2"/>
  <c r="F116" i="2" s="1"/>
  <c r="K116" i="1"/>
  <c r="L116" i="1"/>
  <c r="H116" i="1"/>
  <c r="D48" i="2"/>
  <c r="F134" i="2" s="1"/>
  <c r="F136" i="2" s="1"/>
  <c r="D125" i="1" l="1"/>
  <c r="N124" i="1"/>
  <c r="I124" i="1"/>
  <c r="T41" i="4"/>
  <c r="AI41" i="4" s="1"/>
  <c r="AI39" i="4"/>
  <c r="E76" i="4"/>
  <c r="M121" i="1"/>
  <c r="C141" i="2"/>
  <c r="C139" i="2"/>
  <c r="F174" i="2" s="1"/>
  <c r="E174" i="2" s="1"/>
  <c r="D141" i="2"/>
  <c r="H176" i="2" s="1"/>
  <c r="D140" i="2"/>
  <c r="D139" i="2"/>
  <c r="D5" i="2"/>
  <c r="D9" i="2"/>
  <c r="C16" i="2"/>
  <c r="C19" i="2" s="1"/>
  <c r="C25" i="2" s="1"/>
  <c r="C26" i="2" s="1"/>
  <c r="C21" i="2"/>
  <c r="C22" i="2" s="1"/>
  <c r="C48" i="2"/>
  <c r="C134" i="2" s="1"/>
  <c r="C136" i="2" s="1"/>
  <c r="C140" i="2" s="1"/>
  <c r="D4" i="2"/>
  <c r="D12" i="2"/>
  <c r="D6" i="2"/>
  <c r="D13" i="2"/>
  <c r="D3" i="2"/>
  <c r="D14" i="2"/>
  <c r="D15" i="2"/>
  <c r="D7" i="2"/>
  <c r="D11" i="2"/>
  <c r="D8" i="2"/>
  <c r="E17" i="2"/>
  <c r="E19" i="2"/>
  <c r="E25" i="2" s="1"/>
  <c r="E26" i="2" s="1"/>
  <c r="K117" i="1"/>
  <c r="L117" i="1"/>
  <c r="H117" i="1"/>
  <c r="D126" i="1" l="1"/>
  <c r="N125" i="1"/>
  <c r="I125" i="1"/>
  <c r="AI56" i="4"/>
  <c r="AI76" i="4"/>
  <c r="E82" i="4"/>
  <c r="AI82" i="4" s="1"/>
  <c r="E62" i="4"/>
  <c r="AI62" i="4" s="1"/>
  <c r="G176" i="2"/>
  <c r="M122" i="1"/>
  <c r="A140" i="2"/>
  <c r="H175" i="2"/>
  <c r="G175" i="2" s="1"/>
  <c r="I175" i="2" s="1"/>
  <c r="J175" i="2" s="1"/>
  <c r="H174" i="2"/>
  <c r="G174" i="2" s="1"/>
  <c r="I174" i="2" s="1"/>
  <c r="J174" i="2" s="1"/>
  <c r="F176" i="2"/>
  <c r="E176" i="2" s="1"/>
  <c r="F175" i="2"/>
  <c r="E175" i="2" s="1"/>
  <c r="C17" i="2"/>
  <c r="C20" i="2" s="1"/>
  <c r="E20" i="2"/>
  <c r="K118" i="1"/>
  <c r="L118" i="1"/>
  <c r="H118" i="1"/>
  <c r="D127" i="1" l="1"/>
  <c r="N126" i="1"/>
  <c r="I126" i="1"/>
  <c r="I176" i="2"/>
  <c r="J176" i="2" s="1"/>
  <c r="M123" i="1"/>
  <c r="K119" i="1"/>
  <c r="L119" i="1"/>
  <c r="H119" i="1"/>
  <c r="D128" i="1" l="1"/>
  <c r="N127" i="1"/>
  <c r="I127" i="1"/>
  <c r="M124" i="1"/>
  <c r="K120" i="1"/>
  <c r="L120" i="1"/>
  <c r="H120" i="1"/>
  <c r="I128" i="1" l="1"/>
  <c r="N128" i="1"/>
  <c r="M125" i="1"/>
  <c r="K121" i="1"/>
  <c r="L121" i="1"/>
  <c r="H121" i="1"/>
  <c r="M126" i="1" l="1"/>
  <c r="K122" i="1"/>
  <c r="L122" i="1"/>
  <c r="H122" i="1"/>
  <c r="M127" i="1" l="1"/>
  <c r="K123" i="1"/>
  <c r="L123" i="1"/>
  <c r="H123" i="1"/>
  <c r="M128" i="1" l="1"/>
  <c r="K124" i="1"/>
  <c r="L124" i="1"/>
  <c r="H124" i="1"/>
  <c r="K125" i="1" l="1"/>
  <c r="L125" i="1"/>
  <c r="H125" i="1"/>
  <c r="K126" i="1" l="1"/>
  <c r="L126" i="1"/>
  <c r="H126" i="1"/>
  <c r="K127" i="1" l="1"/>
  <c r="L127" i="1"/>
  <c r="H127" i="1"/>
  <c r="K128" i="1" l="1"/>
  <c r="L128" i="1"/>
  <c r="H1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tc={644F91A5-4CB7-497F-9CE5-06AC1EFBA352}</author>
    <author>tc={8323CB85-3FAC-49D7-90D2-F163026F4EC5}</author>
    <author>tc={0A5DAB9E-6339-4975-9B69-FCA32A65DBA4}</author>
    <author>tc={8D7CB86F-7E4C-4B63-9BD2-3138B045962B}</author>
    <author>tc={AA96CA4A-42EE-4AE4-AC1F-E65634C53E93}</author>
    <author>tc={0A453CD1-5DB8-44F9-8D0F-1E14BF49AD47}</author>
    <author>Juan Marquez</author>
    <author>NATHALIA ORTIZ</author>
  </authors>
  <commentList>
    <comment ref="C65" authorId="0" shapeId="0" xr:uid="{644F91A5-4CB7-497F-9CE5-06AC1EFBA352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Colocar un valor superior al que arroje el cálculo de la celda de arriba</t>
      </text>
    </comment>
    <comment ref="H65" authorId="1" shapeId="0" xr:uid="{8323CB85-3FAC-49D7-90D2-F163026F4EC5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Colocar un valor superior al que arroje el cálculo de la celda de arriba</t>
      </text>
    </comment>
    <comment ref="I65" authorId="2" shapeId="0" xr:uid="{0A5DAB9E-6339-4975-9B69-FCA32A65DBA4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Colocar un valor superior al que arroje el cálculo de la celda de arriba</t>
      </text>
    </comment>
    <comment ref="C69" authorId="3" shapeId="0" xr:uid="{8D7CB86F-7E4C-4B63-9BD2-3138B045962B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Colocar un valor superior al que arroje el cálculo de la celda de arriba</t>
      </text>
    </comment>
    <comment ref="H69" authorId="4" shapeId="0" xr:uid="{AA96CA4A-42EE-4AE4-AC1F-E65634C53E93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Colocar un valor superior al que arroje el cálculo de la celda de arriba</t>
      </text>
    </comment>
    <comment ref="I69" authorId="5" shapeId="0" xr:uid="{0A453CD1-5DB8-44F9-8D0F-1E14BF49AD47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Colocar un valor superior al que arroje el cálculo de la celda de arriba</t>
      </text>
    </comment>
    <comment ref="A86" authorId="6" shapeId="0" xr:uid="{2DEB7D63-A25B-4073-B06F-CBEE2603C0CD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Tarifa electromovilidad valle</t>
        </r>
      </text>
    </comment>
    <comment ref="E87" authorId="6" shapeId="0" xr:uid="{99CAE414-E5BA-4142-A3EB-35A195B3EC3D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En el aumento de la potencia contratada</t>
        </r>
      </text>
    </comment>
    <comment ref="A88" authorId="6" shapeId="0" xr:uid="{031F2451-9A67-4FF8-A15A-509C50291422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 </t>
        </r>
      </text>
    </comment>
    <comment ref="A91" authorId="6" shapeId="0" xr:uid="{49D47156-3BE5-4636-83D5-A1FB7B8CFD2C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</t>
        </r>
      </text>
    </comment>
    <comment ref="D98" authorId="7" shapeId="0" xr:uid="{794F8C1F-A3A2-4B93-97FF-A63CBE090ECC}">
      <text>
        <r>
          <rPr>
            <b/>
            <sz val="9"/>
            <color rgb="FF000000"/>
            <rFont val="Tahoma"/>
            <family val="2"/>
          </rPr>
          <t>NATHALIA ORTIZ: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Valle, tarifa de movilidad eléctrica</t>
        </r>
      </text>
    </comment>
    <comment ref="E98" authorId="7" shapeId="0" xr:uid="{C71F93BE-B89D-4F62-AA3D-78628FF43144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F98" authorId="7" shapeId="0" xr:uid="{9E5BDE9B-B366-4491-8507-D49CF7726A64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</commentList>
</comments>
</file>

<file path=xl/sharedStrings.xml><?xml version="1.0" encoding="utf-8"?>
<sst xmlns="http://schemas.openxmlformats.org/spreadsheetml/2006/main" count="606" uniqueCount="232">
  <si>
    <t>INSTRUCCIONES PARA EL USO DE LA HERRAMIENTA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</si>
  <si>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</si>
  <si>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</si>
  <si>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</si>
  <si>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</si>
  <si>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</si>
  <si>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</si>
  <si>
    <t>CTP Ómnibus Estándar (12m)</t>
  </si>
  <si>
    <t>1 - Información del vehículo</t>
  </si>
  <si>
    <t>Bus Diésel</t>
  </si>
  <si>
    <t>Parámetro</t>
  </si>
  <si>
    <t>Unidad</t>
  </si>
  <si>
    <t>Ómnibus diésel</t>
  </si>
  <si>
    <t>Ómnibus eléctrico</t>
  </si>
  <si>
    <t>Valor</t>
  </si>
  <si>
    <t>Fuente</t>
  </si>
  <si>
    <t>CAPEX vehículo</t>
  </si>
  <si>
    <t>USD/bus</t>
  </si>
  <si>
    <t>CAPEX</t>
  </si>
  <si>
    <t>USD</t>
  </si>
  <si>
    <t>12 metros, IMM 2020</t>
  </si>
  <si>
    <t>IMM (2020)</t>
  </si>
  <si>
    <t>CAPEX batería</t>
  </si>
  <si>
    <t>USD/kWh</t>
  </si>
  <si>
    <t>-</t>
  </si>
  <si>
    <t>Vida útil</t>
  </si>
  <si>
    <t>años</t>
  </si>
  <si>
    <t>CAF-DNE 2020, vida media</t>
  </si>
  <si>
    <t>CAPEX infraestructura de carga</t>
  </si>
  <si>
    <t>Eficiencia vehicular</t>
  </si>
  <si>
    <t>L/100km</t>
  </si>
  <si>
    <t>Observatorio de Movilidad de Montevideo</t>
  </si>
  <si>
    <t>Vida útil vehículo</t>
  </si>
  <si>
    <t>Uso de llantas</t>
  </si>
  <si>
    <t>USD/km</t>
  </si>
  <si>
    <t>IMM 2020</t>
  </si>
  <si>
    <t>Vida útil batería</t>
  </si>
  <si>
    <t>Mantenimiento del motor, incluyendo materiales y personal</t>
  </si>
  <si>
    <t>Mantenimiento del vehículo</t>
  </si>
  <si>
    <t>Reparaciones y repuestos</t>
  </si>
  <si>
    <t>40 L/100 km</t>
  </si>
  <si>
    <t>1 kWh/km</t>
  </si>
  <si>
    <t>Factor de uso</t>
  </si>
  <si>
    <t>km/año</t>
  </si>
  <si>
    <t>Días operativos</t>
  </si>
  <si>
    <t>días/año</t>
  </si>
  <si>
    <t>Bus Eléctrico</t>
  </si>
  <si>
    <t>Vida útil del bus</t>
  </si>
  <si>
    <t>Máximo basado en la edad de la batería (un reemplazo)</t>
  </si>
  <si>
    <t>Vida útil de la batería</t>
  </si>
  <si>
    <t>Niveles de garantía actuales de las baterías</t>
  </si>
  <si>
    <t>kWh/km</t>
  </si>
  <si>
    <t>Promedio chino; (ADB, 2018); incluye AC moderada</t>
  </si>
  <si>
    <t>10% más que para un bus diésel, basado en datos de operadores en China (debido a un peso del bus ligeramente mayor y frenado regenerativo)</t>
  </si>
  <si>
    <t>reducción del 75% (90% de reducción de materiales, 50% menor costo de personal (menos personal, pero más calificado)</t>
  </si>
  <si>
    <t>Mantenimiento de cargadores, conexión a la red, garaje</t>
  </si>
  <si>
    <t>%CAPEX</t>
  </si>
  <si>
    <t>Valor estándar</t>
  </si>
  <si>
    <t>20% menos que el autobús diesel (menos reparaciones del motor, pero piezas de repuesto ligeramente más costosas; otras reparaciones iguales)</t>
  </si>
  <si>
    <t>Infrastructura BEB</t>
  </si>
  <si>
    <t>CAPEX cargador excluyendo instalación por kW</t>
  </si>
  <si>
    <t>USD/kW</t>
  </si>
  <si>
    <t>Promedio cargadores de 2 boquillas</t>
  </si>
  <si>
    <t xml:space="preserve">CAPEX Instalación cargador </t>
  </si>
  <si>
    <t>Obras civiles para cargadores; 2 autobuses por cargador; 5,000 USD por cargador</t>
  </si>
  <si>
    <t>Costo de mejora de garaje por bus</t>
  </si>
  <si>
    <t>Cobertura de autobuses y cargadores con techo, sin pavimentación, incluye mano de obra (20m2 por autobús, 250 USD/m2 de material y 150 USD/m2 de mano de obra)</t>
  </si>
  <si>
    <t>Costo de conexión los cargadores a la red por bus</t>
  </si>
  <si>
    <t>Costo de conexión de UTE</t>
  </si>
  <si>
    <t>Vida útil del cargador</t>
  </si>
  <si>
    <t>Mejoras al garaje en la vida útil</t>
  </si>
  <si>
    <t>Conexión a la red en la vida útil</t>
  </si>
  <si>
    <t xml:space="preserve">Reducción CAPEX BEB </t>
  </si>
  <si>
    <t>Reducción del costo de la batería 2020-2028</t>
  </si>
  <si>
    <t>%</t>
  </si>
  <si>
    <t>Proyecciones del US DOE</t>
  </si>
  <si>
    <t>https://www.energy.gov/sites/prod/files/2017/02/f34/67089%20EERE%20LIB%20cost%20vs%20price%20metrics%20r9.pdf</t>
  </si>
  <si>
    <t>Reducción del costo de la batería 2020-2038</t>
  </si>
  <si>
    <t>BEB cargado durante la noche</t>
  </si>
  <si>
    <t>CAPEX Bus</t>
  </si>
  <si>
    <t>Valor promedio consultando varias marcas</t>
  </si>
  <si>
    <t>CAPEX Batería</t>
  </si>
  <si>
    <t>Baterías LFP</t>
  </si>
  <si>
    <t>Capacidad de la batería</t>
  </si>
  <si>
    <t>kWh</t>
  </si>
  <si>
    <t>Potencia del cargador</t>
  </si>
  <si>
    <t>kW</t>
  </si>
  <si>
    <t>Potencia del cargador nocturno</t>
  </si>
  <si>
    <t xml:space="preserve">2 - Datos de actividad </t>
  </si>
  <si>
    <t>Sensibilidad</t>
  </si>
  <si>
    <t>Uso intensivo</t>
  </si>
  <si>
    <t>Uso bajo</t>
  </si>
  <si>
    <t>Kilómetros por año</t>
  </si>
  <si>
    <t>Basado en Observatorio de Movilidad de Montevideo</t>
  </si>
  <si>
    <t>Total kilómetros ICE</t>
  </si>
  <si>
    <t>km</t>
  </si>
  <si>
    <t>Total kilómetros BEV</t>
  </si>
  <si>
    <t>Días operativos por año</t>
  </si>
  <si>
    <t>Recorrido diario</t>
  </si>
  <si>
    <t>Calculado</t>
  </si>
  <si>
    <t>Consumo de energía diario</t>
  </si>
  <si>
    <t>Coeficiente de riesgo (mayor consumo de energía)</t>
  </si>
  <si>
    <t>Coeficiente de reserva</t>
  </si>
  <si>
    <t>Pérdida de SOC año 8</t>
  </si>
  <si>
    <t>Tamaño de la batería</t>
  </si>
  <si>
    <t>Eficiencia de conversión de energía de los cargadores</t>
  </si>
  <si>
    <t>Tiempo disponible en el garaje de noche</t>
  </si>
  <si>
    <t>horas</t>
  </si>
  <si>
    <t>Potencia de carga requerida</t>
  </si>
  <si>
    <t>Calculado en función del tiempo de carga disponible y el consumo medio diario de electricidad</t>
  </si>
  <si>
    <t>3 - Costos de financiamiento</t>
  </si>
  <si>
    <t>Proporción de la financiación de la deuda</t>
  </si>
  <si>
    <t>Tenencia del préstamo</t>
  </si>
  <si>
    <t>Tasa de interés ICE</t>
  </si>
  <si>
    <t>%/año</t>
  </si>
  <si>
    <t>MIEM (2020)</t>
  </si>
  <si>
    <t>Tasa de interés BEV</t>
  </si>
  <si>
    <t>Moneda local a USD</t>
  </si>
  <si>
    <t>Mon. local/USD</t>
  </si>
  <si>
    <t>https://www.xe.com/currencyconverter/convert/?Amount=1&amp;From=UYU&amp;To=USD</t>
  </si>
  <si>
    <t>4 - Costos de energía</t>
  </si>
  <si>
    <t>(UYU/L)</t>
  </si>
  <si>
    <t>(USD/L)</t>
  </si>
  <si>
    <t>Precio gasoil</t>
  </si>
  <si>
    <t>Subsidio al gasoil</t>
  </si>
  <si>
    <t xml:space="preserve">Se realizan los análisis sin considerar el subsidio al gasoil, pero este puede agregarse </t>
  </si>
  <si>
    <t>(UYU/kWh)</t>
  </si>
  <si>
    <t>(USD/kWh)</t>
  </si>
  <si>
    <t>Precio electricidad</t>
  </si>
  <si>
    <t>(UYU/kW)</t>
  </si>
  <si>
    <t>(USD/kW)</t>
  </si>
  <si>
    <t>Descuento del Plan de Movilidad Eléctrica (PME)</t>
  </si>
  <si>
    <t>Tarifa por potencia máxima medida</t>
  </si>
  <si>
    <t xml:space="preserve">La tarifa por potencia medida para carga en hora valle </t>
  </si>
  <si>
    <t>Con descuento (PME)</t>
  </si>
  <si>
    <t>actualmente es 0, pero aumentará a partir de 07/22</t>
  </si>
  <si>
    <t>(UYU)</t>
  </si>
  <si>
    <t>(USD)</t>
  </si>
  <si>
    <t>Cargo fijo mensual</t>
  </si>
  <si>
    <t>Aumento costo diésel</t>
  </si>
  <si>
    <t>Los cálculos se realizan sin considerar proyecciones de costo de los energéticos, los cargos por potencia y el cargo fijo mensual</t>
  </si>
  <si>
    <t>Aumento costo electricidad</t>
  </si>
  <si>
    <t>Sin embargo, se pueden incorporar agregando una tasa de crecimiento para cada uno</t>
  </si>
  <si>
    <t>Aumento cargo por potencia</t>
  </si>
  <si>
    <t>Aumento cargo fijo mensual</t>
  </si>
  <si>
    <t>Año</t>
  </si>
  <si>
    <t>Gasoil</t>
  </si>
  <si>
    <t>Gasoil (subsidio)</t>
  </si>
  <si>
    <t>Consumo de energía</t>
  </si>
  <si>
    <t>Cargo por potencia</t>
  </si>
  <si>
    <t>Electricidad</t>
  </si>
  <si>
    <t>USD/L</t>
  </si>
  <si>
    <t>Gasoil 50-S</t>
  </si>
  <si>
    <t>Ancap 2022</t>
  </si>
  <si>
    <t>https://www.ute.com.uy/sites/default/files/docs/Pliego%20Tarifario%20Vigente%20desde%201%20de%20Enero%20de%202022.pdf</t>
  </si>
  <si>
    <t>5 - Impuestos</t>
  </si>
  <si>
    <t>Tasa consular</t>
  </si>
  <si>
    <t>TGA</t>
  </si>
  <si>
    <t>IVA</t>
  </si>
  <si>
    <t>IMESI</t>
  </si>
  <si>
    <t>Patente de rodados</t>
  </si>
  <si>
    <t>No se incluye la patente anual porque es un costo igual para ambas tecnologías</t>
  </si>
  <si>
    <t>BEB</t>
  </si>
  <si>
    <t>6 - Emisiones GEI</t>
  </si>
  <si>
    <t>WTW EURO 5</t>
  </si>
  <si>
    <t>gCO2e/km</t>
  </si>
  <si>
    <t>FE red (tCO2/MWh)</t>
  </si>
  <si>
    <t>tCO2/MWh</t>
  </si>
  <si>
    <t>Sensibilidad Costos de emisión</t>
  </si>
  <si>
    <t>Costo de CO2e</t>
  </si>
  <si>
    <t>USD/tCO2e</t>
  </si>
  <si>
    <t>ICE</t>
  </si>
  <si>
    <t>BEV</t>
  </si>
  <si>
    <t>Emisiones totales ICE</t>
  </si>
  <si>
    <t>tCO2e</t>
  </si>
  <si>
    <t>Emisiones totales BEV</t>
  </si>
  <si>
    <t>Costo Emisiones ICE</t>
  </si>
  <si>
    <t>Costo Emisiones BEV</t>
  </si>
  <si>
    <t>CTP 2022</t>
  </si>
  <si>
    <t>Ómnibus Diésel</t>
  </si>
  <si>
    <t>Contribución</t>
  </si>
  <si>
    <t>Ómnibus Eléctrico</t>
  </si>
  <si>
    <t>1- CAPEX</t>
  </si>
  <si>
    <t>CAPEX bus</t>
  </si>
  <si>
    <t>CAPEX conexión a la red</t>
  </si>
  <si>
    <t>CAPEX mejoras en depósito</t>
  </si>
  <si>
    <t>Reemplazo de batería</t>
  </si>
  <si>
    <t>2- ADMIN</t>
  </si>
  <si>
    <t>Costos de financiamiento</t>
  </si>
  <si>
    <t>3- O&amp;M</t>
  </si>
  <si>
    <t>Costos mantenimiento bus</t>
  </si>
  <si>
    <t>Costos mantenimiento infraestructura</t>
  </si>
  <si>
    <t>Costo Energía</t>
  </si>
  <si>
    <t>TOTAL</t>
  </si>
  <si>
    <t>USD/año</t>
  </si>
  <si>
    <t>4 - Emisiones</t>
  </si>
  <si>
    <t>Costos económicos de las emisiones</t>
  </si>
  <si>
    <t>CTP financiero (USD)</t>
  </si>
  <si>
    <t>CTP financiero (USD/km)</t>
  </si>
  <si>
    <t>CTP (USD/km.pax)</t>
  </si>
  <si>
    <t>CTP económico (USD)</t>
  </si>
  <si>
    <t>CTP económico (USD/km)</t>
  </si>
  <si>
    <t>Subsidios (USD/bus)</t>
  </si>
  <si>
    <t>Reducción de impuestos (USD/bus)</t>
  </si>
  <si>
    <t>CTP 2022 (USD/km)</t>
  </si>
  <si>
    <t>Diesel Bus</t>
  </si>
  <si>
    <t>%BEB</t>
  </si>
  <si>
    <t>Inversión de capital</t>
  </si>
  <si>
    <t>Préstamo</t>
  </si>
  <si>
    <t>Equity</t>
  </si>
  <si>
    <t>Costo de financiamiento</t>
  </si>
  <si>
    <t>Sensibilidad (uso bajo o intensivo)</t>
  </si>
  <si>
    <t>CTP 2021</t>
  </si>
  <si>
    <t>CTP 2021 (USD/km)</t>
  </si>
  <si>
    <t>TCO</t>
  </si>
  <si>
    <t>Eléctrico</t>
  </si>
  <si>
    <t>Tipo de uso</t>
  </si>
  <si>
    <t>Kilometraje anual</t>
  </si>
  <si>
    <t>Sin Subsidio</t>
  </si>
  <si>
    <t>Con Subsidio</t>
  </si>
  <si>
    <t>Bajo</t>
  </si>
  <si>
    <t>Medio</t>
  </si>
  <si>
    <t>Intensivo</t>
  </si>
  <si>
    <t>Flujo de caja - Ómnibus 12m</t>
  </si>
  <si>
    <t>Tasa de descuento</t>
  </si>
  <si>
    <t>BUS DIÉSEL</t>
  </si>
  <si>
    <t>Costos (VP)</t>
  </si>
  <si>
    <t>Total</t>
  </si>
  <si>
    <t>Costo Combustible</t>
  </si>
  <si>
    <t>Factor de descuento</t>
  </si>
  <si>
    <t>Costos descontados</t>
  </si>
  <si>
    <t>BUS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</si>
</sst>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\ #,##0;[Red]\-&quot;$&quot;\ #,##0"/>
    <numFmt numFmtId="165" formatCode="&quot;$&quot;\ #,##0.00;[Red]\-&quot;$&quot;\ #,##0.00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&quot;$&quot;\ * #,##0_-;\-&quot;$&quot;\ * #,##0_-;_-&quot;$&quot;\ * &quot;-&quot;??_-;_-@_-"/>
    <numFmt numFmtId="170" formatCode="0.000"/>
    <numFmt numFmtId="171" formatCode="0.0%"/>
    <numFmt numFmtId="172" formatCode="&quot;$&quot;#,##0"/>
    <numFmt numFmtId="173" formatCode="&quot;$&quot;\ #,##0.00"/>
    <numFmt numFmtId="174" formatCode="&quot;$&quot;#,##0.00"/>
    <numFmt numFmtId="175" formatCode="&quot;$&quot;#,##0.000"/>
    <numFmt numFmtId="176" formatCode="&quot;$&quot;\ #,##0"/>
    <numFmt numFmtId="177" formatCode="_-&quot;$&quot;\ * #,##0.00_-;\-&quot;$&quot;\ * #,##0.00_-;_-&quot;$&quot;\ * &quot;-&quot;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rgb="FF00B050"/>
      <name val="Century Gothic"/>
      <family val="2"/>
    </font>
    <font>
      <b/>
      <sz val="11"/>
      <color rgb="FFFF0000"/>
      <name val="Century Gothic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Segoe UI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4">
    <xf numFmtId="0" fontId="0" fillId="0" borderId="0" xfId="0"/>
    <xf numFmtId="0" fontId="4" fillId="5" borderId="0" xfId="0" applyFont="1" applyFill="1" applyAlignment="1">
      <alignment horizontal="center" vertical="center"/>
    </xf>
    <xf numFmtId="2" fontId="5" fillId="5" borderId="0" xfId="0" quotePrefix="1" applyNumberFormat="1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4" fillId="6" borderId="0" xfId="0" applyNumberFormat="1" applyFont="1" applyFill="1" applyAlignment="1">
      <alignment horizontal="center" vertical="center"/>
    </xf>
    <xf numFmtId="1" fontId="11" fillId="6" borderId="0" xfId="0" applyNumberFormat="1" applyFont="1" applyFill="1" applyAlignment="1">
      <alignment horizontal="center" vertical="center"/>
    </xf>
    <xf numFmtId="9" fontId="9" fillId="0" borderId="0" xfId="0" applyNumberFormat="1" applyFont="1"/>
    <xf numFmtId="1" fontId="9" fillId="0" borderId="0" xfId="0" applyNumberFormat="1" applyFont="1"/>
    <xf numFmtId="171" fontId="9" fillId="0" borderId="0" xfId="2" applyNumberFormat="1" applyFont="1"/>
    <xf numFmtId="1" fontId="4" fillId="0" borderId="0" xfId="0" applyNumberFormat="1" applyFont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6" fillId="5" borderId="0" xfId="3" applyNumberFormat="1" applyFill="1" applyAlignment="1">
      <alignment horizontal="left" vertical="center" wrapText="1"/>
    </xf>
    <xf numFmtId="0" fontId="6" fillId="5" borderId="0" xfId="3" applyFill="1" applyAlignment="1">
      <alignment wrapText="1"/>
    </xf>
    <xf numFmtId="2" fontId="4" fillId="7" borderId="0" xfId="0" applyNumberFormat="1" applyFont="1" applyFill="1" applyAlignment="1">
      <alignment horizontal="center"/>
    </xf>
    <xf numFmtId="169" fontId="4" fillId="7" borderId="0" xfId="1" applyNumberFormat="1" applyFont="1" applyFill="1" applyAlignment="1">
      <alignment horizontal="center"/>
    </xf>
    <xf numFmtId="0" fontId="10" fillId="4" borderId="0" xfId="0" applyFont="1" applyFill="1" applyAlignment="1">
      <alignment horizontal="right"/>
    </xf>
    <xf numFmtId="170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0" xfId="0" applyFont="1" applyFill="1"/>
    <xf numFmtId="172" fontId="4" fillId="10" borderId="0" xfId="0" applyNumberFormat="1" applyFont="1" applyFill="1"/>
    <xf numFmtId="172" fontId="4" fillId="11" borderId="0" xfId="0" applyNumberFormat="1" applyFont="1" applyFill="1"/>
    <xf numFmtId="172" fontId="4" fillId="10" borderId="2" xfId="0" applyNumberFormat="1" applyFont="1" applyFill="1" applyBorder="1"/>
    <xf numFmtId="172" fontId="4" fillId="11" borderId="2" xfId="0" applyNumberFormat="1" applyFont="1" applyFill="1" applyBorder="1"/>
    <xf numFmtId="172" fontId="4" fillId="10" borderId="1" xfId="0" applyNumberFormat="1" applyFont="1" applyFill="1" applyBorder="1"/>
    <xf numFmtId="172" fontId="4" fillId="11" borderId="1" xfId="0" applyNumberFormat="1" applyFont="1" applyFill="1" applyBorder="1"/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174" fontId="2" fillId="10" borderId="0" xfId="0" applyNumberFormat="1" applyFont="1" applyFill="1"/>
    <xf numFmtId="10" fontId="2" fillId="10" borderId="0" xfId="0" applyNumberFormat="1" applyFont="1" applyFill="1"/>
    <xf numFmtId="10" fontId="2" fillId="11" borderId="0" xfId="0" applyNumberFormat="1" applyFont="1" applyFill="1"/>
    <xf numFmtId="175" fontId="2" fillId="10" borderId="0" xfId="0" applyNumberFormat="1" applyFont="1" applyFill="1"/>
    <xf numFmtId="175" fontId="2" fillId="11" borderId="0" xfId="0" applyNumberFormat="1" applyFont="1" applyFill="1"/>
    <xf numFmtId="1" fontId="4" fillId="5" borderId="0" xfId="0" applyNumberFormat="1" applyFont="1" applyFill="1" applyAlignment="1">
      <alignment horizontal="center" vertical="center" wrapText="1"/>
    </xf>
    <xf numFmtId="169" fontId="4" fillId="5" borderId="0" xfId="1" applyNumberFormat="1" applyFont="1" applyFill="1" applyAlignment="1">
      <alignment horizontal="center" vertical="center" wrapText="1"/>
    </xf>
    <xf numFmtId="2" fontId="11" fillId="5" borderId="0" xfId="0" applyNumberFormat="1" applyFont="1" applyFill="1" applyAlignment="1">
      <alignment horizontal="center" vertical="center" wrapText="1"/>
    </xf>
    <xf numFmtId="172" fontId="4" fillId="10" borderId="4" xfId="0" applyNumberFormat="1" applyFont="1" applyFill="1" applyBorder="1"/>
    <xf numFmtId="172" fontId="4" fillId="11" borderId="4" xfId="0" applyNumberFormat="1" applyFont="1" applyFill="1" applyBorder="1"/>
    <xf numFmtId="0" fontId="10" fillId="2" borderId="8" xfId="0" applyFont="1" applyFill="1" applyBorder="1" applyAlignment="1">
      <alignment horizontal="center" vertical="center"/>
    </xf>
    <xf numFmtId="172" fontId="4" fillId="10" borderId="9" xfId="0" applyNumberFormat="1" applyFont="1" applyFill="1" applyBorder="1"/>
    <xf numFmtId="171" fontId="4" fillId="10" borderId="0" xfId="0" applyNumberFormat="1" applyFont="1" applyFill="1" applyAlignment="1">
      <alignment horizontal="center"/>
    </xf>
    <xf numFmtId="171" fontId="4" fillId="10" borderId="2" xfId="0" applyNumberFormat="1" applyFont="1" applyFill="1" applyBorder="1" applyAlignment="1">
      <alignment horizontal="center"/>
    </xf>
    <xf numFmtId="171" fontId="4" fillId="10" borderId="1" xfId="0" applyNumberFormat="1" applyFont="1" applyFill="1" applyBorder="1" applyAlignment="1">
      <alignment horizontal="center"/>
    </xf>
    <xf numFmtId="172" fontId="2" fillId="11" borderId="0" xfId="0" applyNumberFormat="1" applyFont="1" applyFill="1"/>
    <xf numFmtId="9" fontId="4" fillId="0" borderId="0" xfId="2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0" borderId="0" xfId="3"/>
    <xf numFmtId="9" fontId="9" fillId="0" borderId="0" xfId="2" applyFont="1"/>
    <xf numFmtId="175" fontId="4" fillId="10" borderId="4" xfId="0" applyNumberFormat="1" applyFont="1" applyFill="1" applyBorder="1"/>
    <xf numFmtId="175" fontId="4" fillId="10" borderId="0" xfId="0" applyNumberFormat="1" applyFont="1" applyFill="1"/>
    <xf numFmtId="175" fontId="4" fillId="10" borderId="2" xfId="0" applyNumberFormat="1" applyFont="1" applyFill="1" applyBorder="1"/>
    <xf numFmtId="175" fontId="4" fillId="10" borderId="1" xfId="0" applyNumberFormat="1" applyFont="1" applyFill="1" applyBorder="1"/>
    <xf numFmtId="175" fontId="4" fillId="10" borderId="9" xfId="0" applyNumberFormat="1" applyFont="1" applyFill="1" applyBorder="1"/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/>
    <xf numFmtId="0" fontId="7" fillId="12" borderId="0" xfId="0" applyFont="1" applyFill="1" applyAlignment="1">
      <alignment horizontal="center" vertical="center"/>
    </xf>
    <xf numFmtId="10" fontId="2" fillId="0" borderId="0" xfId="0" applyNumberFormat="1" applyFont="1"/>
    <xf numFmtId="175" fontId="2" fillId="0" borderId="0" xfId="0" applyNumberFormat="1" applyFont="1"/>
    <xf numFmtId="172" fontId="4" fillId="0" borderId="0" xfId="0" applyNumberFormat="1" applyFont="1"/>
    <xf numFmtId="0" fontId="4" fillId="9" borderId="0" xfId="0" applyFont="1" applyFill="1"/>
    <xf numFmtId="0" fontId="7" fillId="9" borderId="0" xfId="0" applyFont="1" applyFill="1"/>
    <xf numFmtId="0" fontId="14" fillId="0" borderId="0" xfId="0" applyFont="1" applyAlignment="1">
      <alignment horizontal="right"/>
    </xf>
    <xf numFmtId="172" fontId="15" fillId="0" borderId="0" xfId="0" applyNumberFormat="1" applyFont="1"/>
    <xf numFmtId="0" fontId="10" fillId="2" borderId="14" xfId="0" applyFont="1" applyFill="1" applyBorder="1" applyAlignment="1">
      <alignment horizontal="center" vertical="center"/>
    </xf>
    <xf numFmtId="0" fontId="10" fillId="4" borderId="15" xfId="0" applyFont="1" applyFill="1" applyBorder="1"/>
    <xf numFmtId="172" fontId="4" fillId="10" borderId="15" xfId="0" applyNumberFormat="1" applyFont="1" applyFill="1" applyBorder="1"/>
    <xf numFmtId="10" fontId="4" fillId="10" borderId="15" xfId="0" applyNumberFormat="1" applyFont="1" applyFill="1" applyBorder="1"/>
    <xf numFmtId="172" fontId="4" fillId="11" borderId="15" xfId="0" applyNumberFormat="1" applyFont="1" applyFill="1" applyBorder="1"/>
    <xf numFmtId="10" fontId="4" fillId="11" borderId="16" xfId="0" applyNumberFormat="1" applyFont="1" applyFill="1" applyBorder="1"/>
    <xf numFmtId="0" fontId="10" fillId="0" borderId="11" xfId="0" applyFont="1" applyBorder="1" applyAlignment="1">
      <alignment horizontal="center" vertical="center"/>
    </xf>
    <xf numFmtId="176" fontId="4" fillId="11" borderId="1" xfId="1" applyNumberFormat="1" applyFont="1" applyFill="1" applyBorder="1"/>
    <xf numFmtId="176" fontId="4" fillId="11" borderId="0" xfId="1" applyNumberFormat="1" applyFont="1" applyFill="1" applyBorder="1"/>
    <xf numFmtId="176" fontId="4" fillId="11" borderId="2" xfId="1" applyNumberFormat="1" applyFont="1" applyFill="1" applyBorder="1"/>
    <xf numFmtId="175" fontId="4" fillId="11" borderId="4" xfId="0" applyNumberFormat="1" applyFont="1" applyFill="1" applyBorder="1"/>
    <xf numFmtId="175" fontId="4" fillId="11" borderId="0" xfId="0" applyNumberFormat="1" applyFont="1" applyFill="1"/>
    <xf numFmtId="175" fontId="4" fillId="11" borderId="2" xfId="0" applyNumberFormat="1" applyFont="1" applyFill="1" applyBorder="1"/>
    <xf numFmtId="175" fontId="4" fillId="11" borderId="1" xfId="0" applyNumberFormat="1" applyFont="1" applyFill="1" applyBorder="1"/>
    <xf numFmtId="175" fontId="4" fillId="11" borderId="9" xfId="0" applyNumberFormat="1" applyFont="1" applyFill="1" applyBorder="1"/>
    <xf numFmtId="0" fontId="4" fillId="0" borderId="0" xfId="0" applyFont="1" applyAlignment="1">
      <alignment horizontal="right"/>
    </xf>
    <xf numFmtId="175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72" fontId="4" fillId="15" borderId="0" xfId="0" applyNumberFormat="1" applyFont="1" applyFill="1"/>
    <xf numFmtId="172" fontId="4" fillId="15" borderId="2" xfId="0" applyNumberFormat="1" applyFont="1" applyFill="1" applyBorder="1"/>
    <xf numFmtId="176" fontId="4" fillId="15" borderId="0" xfId="1" applyNumberFormat="1" applyFont="1" applyFill="1" applyBorder="1"/>
    <xf numFmtId="172" fontId="4" fillId="15" borderId="9" xfId="0" applyNumberFormat="1" applyFont="1" applyFill="1" applyBorder="1"/>
    <xf numFmtId="176" fontId="4" fillId="15" borderId="9" xfId="1" applyNumberFormat="1" applyFont="1" applyFill="1" applyBorder="1"/>
    <xf numFmtId="0" fontId="6" fillId="5" borderId="0" xfId="3" applyFill="1" applyAlignment="1">
      <alignment horizontal="center" vertical="center" wrapText="1"/>
    </xf>
    <xf numFmtId="0" fontId="11" fillId="5" borderId="0" xfId="0" applyFont="1" applyFill="1" applyAlignment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6" fillId="0" borderId="0" xfId="3" applyAlignment="1">
      <alignment horizontal="center"/>
    </xf>
    <xf numFmtId="172" fontId="2" fillId="10" borderId="0" xfId="0" applyNumberFormat="1" applyFont="1" applyFill="1"/>
    <xf numFmtId="176" fontId="2" fillId="11" borderId="0" xfId="1" applyNumberFormat="1" applyFont="1" applyFill="1" applyBorder="1"/>
    <xf numFmtId="10" fontId="17" fillId="10" borderId="0" xfId="0" applyNumberFormat="1" applyFont="1" applyFill="1"/>
    <xf numFmtId="10" fontId="17" fillId="11" borderId="0" xfId="0" applyNumberFormat="1" applyFont="1" applyFill="1"/>
    <xf numFmtId="176" fontId="4" fillId="0" borderId="0" xfId="1" applyNumberFormat="1" applyFont="1" applyBorder="1"/>
    <xf numFmtId="173" fontId="4" fillId="8" borderId="0" xfId="1" applyNumberFormat="1" applyFont="1" applyFill="1" applyAlignment="1">
      <alignment horizontal="center" vertical="center"/>
    </xf>
    <xf numFmtId="167" fontId="4" fillId="6" borderId="0" xfId="4" applyFont="1" applyFill="1" applyAlignment="1">
      <alignment horizontal="center" vertical="center"/>
    </xf>
    <xf numFmtId="176" fontId="2" fillId="16" borderId="0" xfId="1" applyNumberFormat="1" applyFont="1" applyFill="1" applyBorder="1"/>
    <xf numFmtId="175" fontId="4" fillId="17" borderId="0" xfId="0" applyNumberFormat="1" applyFont="1" applyFill="1"/>
    <xf numFmtId="175" fontId="2" fillId="18" borderId="0" xfId="1" applyNumberFormat="1" applyFont="1" applyFill="1" applyBorder="1"/>
    <xf numFmtId="175" fontId="2" fillId="18" borderId="0" xfId="0" applyNumberFormat="1" applyFont="1" applyFill="1"/>
    <xf numFmtId="171" fontId="4" fillId="11" borderId="1" xfId="2" applyNumberFormat="1" applyFont="1" applyFill="1" applyBorder="1"/>
    <xf numFmtId="171" fontId="4" fillId="11" borderId="0" xfId="2" applyNumberFormat="1" applyFont="1" applyFill="1" applyBorder="1"/>
    <xf numFmtId="171" fontId="4" fillId="11" borderId="2" xfId="2" applyNumberFormat="1" applyFont="1" applyFill="1" applyBorder="1"/>
    <xf numFmtId="0" fontId="20" fillId="0" borderId="0" xfId="0" applyFont="1" applyAlignment="1">
      <alignment horizontal="left" vertical="center" indent="1"/>
    </xf>
    <xf numFmtId="1" fontId="4" fillId="8" borderId="0" xfId="2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center" vertical="center" wrapText="1"/>
    </xf>
    <xf numFmtId="0" fontId="22" fillId="12" borderId="17" xfId="0" applyFont="1" applyFill="1" applyBorder="1" applyAlignment="1">
      <alignment horizontal="center" vertical="center" wrapText="1"/>
    </xf>
    <xf numFmtId="0" fontId="23" fillId="21" borderId="17" xfId="0" applyFont="1" applyFill="1" applyBorder="1" applyAlignment="1">
      <alignment horizontal="center" vertical="center" wrapText="1"/>
    </xf>
    <xf numFmtId="176" fontId="23" fillId="21" borderId="17" xfId="0" applyNumberFormat="1" applyFont="1" applyFill="1" applyBorder="1" applyAlignment="1">
      <alignment horizontal="center" vertical="center" wrapText="1"/>
    </xf>
    <xf numFmtId="175" fontId="23" fillId="21" borderId="17" xfId="0" applyNumberFormat="1" applyFont="1" applyFill="1" applyBorder="1" applyAlignment="1">
      <alignment horizontal="center" vertical="center" wrapText="1"/>
    </xf>
    <xf numFmtId="175" fontId="23" fillId="21" borderId="17" xfId="0" applyNumberFormat="1" applyFont="1" applyFill="1" applyBorder="1" applyAlignment="1">
      <alignment horizontal="center" wrapText="1"/>
    </xf>
    <xf numFmtId="0" fontId="23" fillId="20" borderId="17" xfId="0" applyFont="1" applyFill="1" applyBorder="1" applyAlignment="1">
      <alignment horizontal="center" vertical="center" wrapText="1"/>
    </xf>
    <xf numFmtId="176" fontId="23" fillId="20" borderId="17" xfId="0" applyNumberFormat="1" applyFont="1" applyFill="1" applyBorder="1" applyAlignment="1">
      <alignment horizontal="center" vertical="center" wrapText="1"/>
    </xf>
    <xf numFmtId="175" fontId="23" fillId="20" borderId="17" xfId="0" applyNumberFormat="1" applyFont="1" applyFill="1" applyBorder="1" applyAlignment="1">
      <alignment horizontal="center" vertical="center" wrapText="1"/>
    </xf>
    <xf numFmtId="175" fontId="23" fillId="20" borderId="17" xfId="0" applyNumberFormat="1" applyFont="1" applyFill="1" applyBorder="1" applyAlignment="1">
      <alignment horizontal="center" wrapText="1"/>
    </xf>
    <xf numFmtId="0" fontId="23" fillId="19" borderId="17" xfId="0" applyFont="1" applyFill="1" applyBorder="1" applyAlignment="1">
      <alignment horizontal="center" vertical="center" wrapText="1"/>
    </xf>
    <xf numFmtId="176" fontId="23" fillId="19" borderId="17" xfId="0" applyNumberFormat="1" applyFont="1" applyFill="1" applyBorder="1" applyAlignment="1">
      <alignment horizontal="center" vertical="center" wrapText="1"/>
    </xf>
    <xf numFmtId="175" fontId="23" fillId="19" borderId="17" xfId="0" applyNumberFormat="1" applyFont="1" applyFill="1" applyBorder="1" applyAlignment="1">
      <alignment horizontal="center" vertical="center" wrapText="1"/>
    </xf>
    <xf numFmtId="175" fontId="23" fillId="19" borderId="17" xfId="0" applyNumberFormat="1" applyFont="1" applyFill="1" applyBorder="1" applyAlignment="1">
      <alignment horizontal="center" wrapText="1"/>
    </xf>
    <xf numFmtId="0" fontId="2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69" fontId="2" fillId="5" borderId="0" xfId="1" applyNumberFormat="1" applyFont="1" applyFill="1" applyBorder="1" applyAlignment="1">
      <alignment horizontal="center" vertical="center"/>
    </xf>
    <xf numFmtId="1" fontId="2" fillId="5" borderId="0" xfId="1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73" fontId="2" fillId="5" borderId="0" xfId="1" applyNumberFormat="1" applyFont="1" applyFill="1" applyBorder="1" applyAlignment="1">
      <alignment horizontal="center" vertical="center"/>
    </xf>
    <xf numFmtId="168" fontId="2" fillId="5" borderId="0" xfId="1" applyFont="1" applyFill="1" applyBorder="1" applyAlignment="1">
      <alignment horizontal="center" vertical="center"/>
    </xf>
    <xf numFmtId="0" fontId="14" fillId="0" borderId="0" xfId="0" applyFont="1"/>
    <xf numFmtId="2" fontId="9" fillId="0" borderId="0" xfId="0" applyNumberFormat="1" applyFont="1"/>
    <xf numFmtId="169" fontId="2" fillId="5" borderId="0" xfId="0" applyNumberFormat="1" applyFont="1" applyFill="1" applyAlignment="1">
      <alignment horizontal="center" vertical="center"/>
    </xf>
    <xf numFmtId="177" fontId="2" fillId="5" borderId="0" xfId="5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9" fillId="0" borderId="20" xfId="0" applyFont="1" applyBorder="1"/>
    <xf numFmtId="0" fontId="14" fillId="0" borderId="8" xfId="0" applyFont="1" applyBorder="1"/>
    <xf numFmtId="2" fontId="9" fillId="0" borderId="9" xfId="0" applyNumberFormat="1" applyFont="1" applyBorder="1"/>
    <xf numFmtId="0" fontId="9" fillId="0" borderId="9" xfId="0" applyFont="1" applyBorder="1"/>
    <xf numFmtId="0" fontId="9" fillId="0" borderId="21" xfId="0" applyFont="1" applyBorder="1"/>
    <xf numFmtId="0" fontId="14" fillId="0" borderId="3" xfId="0" applyFont="1" applyBorder="1"/>
    <xf numFmtId="171" fontId="4" fillId="8" borderId="4" xfId="2" applyNumberFormat="1" applyFont="1" applyFill="1" applyBorder="1" applyAlignment="1">
      <alignment horizontal="center" vertical="center"/>
    </xf>
    <xf numFmtId="2" fontId="9" fillId="0" borderId="4" xfId="0" applyNumberFormat="1" applyFont="1" applyBorder="1"/>
    <xf numFmtId="0" fontId="14" fillId="0" borderId="5" xfId="0" applyFont="1" applyBorder="1"/>
    <xf numFmtId="171" fontId="4" fillId="8" borderId="0" xfId="2" applyNumberFormat="1" applyFont="1" applyFill="1" applyBorder="1" applyAlignment="1">
      <alignment horizontal="center" vertical="center"/>
    </xf>
    <xf numFmtId="0" fontId="9" fillId="0" borderId="22" xfId="0" applyFont="1" applyBorder="1"/>
    <xf numFmtId="171" fontId="4" fillId="8" borderId="9" xfId="2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15" borderId="0" xfId="0" applyFont="1" applyFill="1" applyAlignment="1">
      <alignment horizontal="center" vertical="center"/>
    </xf>
    <xf numFmtId="173" fontId="4" fillId="15" borderId="0" xfId="1" applyNumberFormat="1" applyFont="1" applyFill="1" applyAlignment="1">
      <alignment horizontal="center" vertical="center"/>
    </xf>
    <xf numFmtId="168" fontId="4" fillId="15" borderId="0" xfId="1" applyFont="1" applyFill="1" applyAlignment="1">
      <alignment horizontal="center" vertical="center"/>
    </xf>
    <xf numFmtId="9" fontId="4" fillId="15" borderId="0" xfId="1" applyNumberFormat="1" applyFont="1" applyFill="1" applyAlignment="1">
      <alignment horizontal="center" vertical="center"/>
    </xf>
    <xf numFmtId="169" fontId="4" fillId="15" borderId="0" xfId="1" applyNumberFormat="1" applyFont="1" applyFill="1" applyAlignment="1">
      <alignment horizontal="center" vertical="center"/>
    </xf>
    <xf numFmtId="1" fontId="4" fillId="15" borderId="0" xfId="1" applyNumberFormat="1" applyFont="1" applyFill="1" applyAlignment="1">
      <alignment horizontal="center" vertical="center"/>
    </xf>
    <xf numFmtId="1" fontId="4" fillId="8" borderId="0" xfId="1" applyNumberFormat="1" applyFont="1" applyFill="1" applyAlignment="1">
      <alignment horizontal="center" vertical="center"/>
    </xf>
    <xf numFmtId="168" fontId="4" fillId="8" borderId="0" xfId="1" applyFont="1" applyFill="1" applyAlignment="1">
      <alignment horizontal="center" vertical="center"/>
    </xf>
    <xf numFmtId="9" fontId="4" fillId="15" borderId="0" xfId="0" applyNumberFormat="1" applyFont="1" applyFill="1" applyAlignment="1">
      <alignment horizontal="center" vertical="center"/>
    </xf>
    <xf numFmtId="2" fontId="4" fillId="15" borderId="0" xfId="0" applyNumberFormat="1" applyFont="1" applyFill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166" fontId="4" fillId="8" borderId="0" xfId="5" applyFont="1" applyFill="1" applyBorder="1" applyAlignment="1">
      <alignment horizontal="center" vertical="center"/>
    </xf>
    <xf numFmtId="177" fontId="4" fillId="8" borderId="0" xfId="5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6" fillId="12" borderId="0" xfId="0" applyFont="1" applyFill="1"/>
    <xf numFmtId="0" fontId="26" fillId="12" borderId="11" xfId="0" applyFont="1" applyFill="1" applyBorder="1"/>
    <xf numFmtId="0" fontId="24" fillId="12" borderId="0" xfId="0" applyFont="1" applyFill="1"/>
    <xf numFmtId="0" fontId="28" fillId="0" borderId="0" xfId="0" applyFont="1"/>
    <xf numFmtId="0" fontId="29" fillId="0" borderId="0" xfId="0" applyFont="1"/>
    <xf numFmtId="0" fontId="25" fillId="0" borderId="0" xfId="0" applyFont="1"/>
    <xf numFmtId="1" fontId="0" fillId="22" borderId="0" xfId="0" applyNumberFormat="1" applyFill="1"/>
    <xf numFmtId="1" fontId="24" fillId="3" borderId="0" xfId="0" applyNumberFormat="1" applyFont="1" applyFill="1"/>
    <xf numFmtId="0" fontId="24" fillId="3" borderId="0" xfId="0" applyFont="1" applyFill="1"/>
    <xf numFmtId="3" fontId="0" fillId="0" borderId="0" xfId="0" applyNumberFormat="1"/>
    <xf numFmtId="171" fontId="32" fillId="0" borderId="0" xfId="2" applyNumberFormat="1" applyFont="1"/>
    <xf numFmtId="1" fontId="33" fillId="0" borderId="0" xfId="0" applyNumberFormat="1" applyFont="1"/>
    <xf numFmtId="2" fontId="0" fillId="10" borderId="0" xfId="0" applyNumberFormat="1" applyFill="1"/>
    <xf numFmtId="171" fontId="34" fillId="0" borderId="0" xfId="2" applyNumberFormat="1" applyFont="1"/>
    <xf numFmtId="166" fontId="26" fillId="3" borderId="0" xfId="5" applyFont="1" applyFill="1" applyBorder="1"/>
    <xf numFmtId="165" fontId="4" fillId="0" borderId="0" xfId="0" applyNumberFormat="1" applyFont="1"/>
    <xf numFmtId="166" fontId="0" fillId="23" borderId="10" xfId="5" applyFont="1" applyFill="1" applyBorder="1"/>
    <xf numFmtId="166" fontId="0" fillId="23" borderId="1" xfId="5" applyFont="1" applyFill="1" applyBorder="1"/>
    <xf numFmtId="166" fontId="0" fillId="23" borderId="18" xfId="5" applyFont="1" applyFill="1" applyBorder="1"/>
    <xf numFmtId="166" fontId="0" fillId="23" borderId="11" xfId="5" applyFont="1" applyFill="1" applyBorder="1"/>
    <xf numFmtId="166" fontId="0" fillId="23" borderId="0" xfId="5" applyFont="1" applyFill="1" applyBorder="1"/>
    <xf numFmtId="166" fontId="0" fillId="23" borderId="12" xfId="5" applyFont="1" applyFill="1" applyBorder="1"/>
    <xf numFmtId="166" fontId="0" fillId="23" borderId="13" xfId="5" applyFont="1" applyFill="1" applyBorder="1"/>
    <xf numFmtId="166" fontId="0" fillId="23" borderId="2" xfId="5" applyFont="1" applyFill="1" applyBorder="1"/>
    <xf numFmtId="166" fontId="0" fillId="23" borderId="19" xfId="5" applyFont="1" applyFill="1" applyBorder="1"/>
    <xf numFmtId="171" fontId="0" fillId="10" borderId="17" xfId="2" applyNumberFormat="1" applyFont="1" applyFill="1" applyBorder="1"/>
    <xf numFmtId="166" fontId="26" fillId="3" borderId="0" xfId="5" applyFont="1" applyFill="1"/>
    <xf numFmtId="166" fontId="0" fillId="11" borderId="10" xfId="5" applyFont="1" applyFill="1" applyBorder="1"/>
    <xf numFmtId="166" fontId="0" fillId="11" borderId="1" xfId="5" applyFont="1" applyFill="1" applyBorder="1"/>
    <xf numFmtId="166" fontId="0" fillId="11" borderId="18" xfId="5" applyFont="1" applyFill="1" applyBorder="1"/>
    <xf numFmtId="166" fontId="0" fillId="11" borderId="11" xfId="5" applyFont="1" applyFill="1" applyBorder="1"/>
    <xf numFmtId="166" fontId="0" fillId="11" borderId="0" xfId="5" applyFont="1" applyFill="1" applyBorder="1"/>
    <xf numFmtId="166" fontId="0" fillId="11" borderId="12" xfId="5" applyFont="1" applyFill="1" applyBorder="1"/>
    <xf numFmtId="166" fontId="0" fillId="11" borderId="13" xfId="5" applyFont="1" applyFill="1" applyBorder="1"/>
    <xf numFmtId="166" fontId="0" fillId="11" borderId="2" xfId="5" applyFont="1" applyFill="1" applyBorder="1"/>
    <xf numFmtId="166" fontId="0" fillId="11" borderId="19" xfId="5" applyFont="1" applyFill="1" applyBorder="1"/>
    <xf numFmtId="166" fontId="0" fillId="11" borderId="14" xfId="5" applyFont="1" applyFill="1" applyBorder="1"/>
    <xf numFmtId="166" fontId="0" fillId="11" borderId="15" xfId="5" applyFont="1" applyFill="1" applyBorder="1"/>
    <xf numFmtId="166" fontId="0" fillId="11" borderId="16" xfId="5" applyFont="1" applyFill="1" applyBorder="1"/>
    <xf numFmtId="166" fontId="0" fillId="23" borderId="23" xfId="5" applyFont="1" applyFill="1" applyBorder="1"/>
    <xf numFmtId="166" fontId="0" fillId="23" borderId="24" xfId="5" applyFont="1" applyFill="1" applyBorder="1"/>
    <xf numFmtId="166" fontId="0" fillId="23" borderId="25" xfId="5" applyFont="1" applyFill="1" applyBorder="1"/>
    <xf numFmtId="166" fontId="0" fillId="23" borderId="17" xfId="5" applyFont="1" applyFill="1" applyBorder="1"/>
    <xf numFmtId="166" fontId="0" fillId="11" borderId="23" xfId="5" applyFont="1" applyFill="1" applyBorder="1"/>
    <xf numFmtId="166" fontId="0" fillId="11" borderId="24" xfId="5" applyFont="1" applyFill="1" applyBorder="1"/>
    <xf numFmtId="166" fontId="0" fillId="11" borderId="25" xfId="5" applyFont="1" applyFill="1" applyBorder="1"/>
    <xf numFmtId="166" fontId="0" fillId="11" borderId="17" xfId="5" applyFont="1" applyFill="1" applyBorder="1"/>
    <xf numFmtId="166" fontId="26" fillId="24" borderId="0" xfId="5" applyFont="1" applyFill="1" applyBorder="1"/>
    <xf numFmtId="166" fontId="26" fillId="24" borderId="0" xfId="5" applyFont="1" applyFill="1"/>
    <xf numFmtId="164" fontId="0" fillId="23" borderId="2" xfId="5" applyNumberFormat="1" applyFont="1" applyFill="1" applyBorder="1"/>
    <xf numFmtId="0" fontId="32" fillId="0" borderId="0" xfId="2" applyNumberFormat="1" applyFont="1"/>
    <xf numFmtId="166" fontId="0" fillId="23" borderId="14" xfId="5" applyFont="1" applyFill="1" applyBorder="1"/>
    <xf numFmtId="166" fontId="0" fillId="23" borderId="15" xfId="5" applyFont="1" applyFill="1" applyBorder="1"/>
    <xf numFmtId="166" fontId="0" fillId="23" borderId="16" xfId="5" applyFont="1" applyFill="1" applyBorder="1"/>
    <xf numFmtId="177" fontId="9" fillId="6" borderId="0" xfId="5" applyNumberFormat="1" applyFont="1" applyFill="1" applyBorder="1"/>
    <xf numFmtId="166" fontId="9" fillId="6" borderId="0" xfId="5" applyFont="1" applyFill="1" applyBorder="1"/>
    <xf numFmtId="177" fontId="9" fillId="6" borderId="9" xfId="5" applyNumberFormat="1" applyFont="1" applyFill="1" applyBorder="1"/>
    <xf numFmtId="177" fontId="4" fillId="6" borderId="0" xfId="5" applyNumberFormat="1" applyFont="1" applyFill="1" applyBorder="1" applyAlignment="1">
      <alignment horizontal="center" vertical="center"/>
    </xf>
    <xf numFmtId="177" fontId="4" fillId="6" borderId="9" xfId="5" applyNumberFormat="1" applyFont="1" applyFill="1" applyBorder="1" applyAlignment="1">
      <alignment horizontal="center" vertical="center"/>
    </xf>
    <xf numFmtId="9" fontId="9" fillId="8" borderId="0" xfId="0" applyNumberFormat="1" applyFont="1" applyFill="1"/>
    <xf numFmtId="177" fontId="9" fillId="8" borderId="0" xfId="5" applyNumberFormat="1" applyFont="1" applyFill="1" applyBorder="1"/>
    <xf numFmtId="0" fontId="2" fillId="0" borderId="0" xfId="0" applyFont="1"/>
    <xf numFmtId="0" fontId="2" fillId="0" borderId="5" xfId="0" applyFont="1" applyBorder="1"/>
    <xf numFmtId="0" fontId="2" fillId="0" borderId="22" xfId="0" applyFont="1" applyBorder="1"/>
    <xf numFmtId="0" fontId="2" fillId="8" borderId="5" xfId="0" applyFont="1" applyFill="1" applyBorder="1"/>
    <xf numFmtId="0" fontId="2" fillId="17" borderId="5" xfId="0" applyFont="1" applyFill="1" applyBorder="1"/>
    <xf numFmtId="0" fontId="2" fillId="27" borderId="5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21" xfId="0" applyFont="1" applyBorder="1"/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1" fontId="2" fillId="5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1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22" fillId="12" borderId="18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27" fillId="12" borderId="0" xfId="0" applyFont="1" applyFill="1" applyAlignment="1">
      <alignment horizontal="center"/>
    </xf>
    <xf numFmtId="0" fontId="30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24" fillId="25" borderId="0" xfId="0" applyFont="1" applyFill="1" applyAlignment="1">
      <alignment horizontal="center"/>
    </xf>
    <xf numFmtId="0" fontId="24" fillId="26" borderId="0" xfId="0" applyFont="1" applyFill="1" applyAlignment="1">
      <alignment horizontal="center"/>
    </xf>
  </cellXfs>
  <cellStyles count="6">
    <cellStyle name="Hipervínculo" xfId="3" builtinId="8"/>
    <cellStyle name="Millares [0]" xfId="4" builtinId="6"/>
    <cellStyle name="Moneda" xfId="1" builtinId="4"/>
    <cellStyle name="Moneda [0]" xfId="5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4DE86"/>
      <color rgb="FFFF5B5B"/>
      <color rgb="FFFFFF65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</c:f>
              <c:strCache>
                <c:ptCount val="1"/>
                <c:pt idx="0">
                  <c:v>CAPEX bus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(CTP!$C$3,CTP!$E$3)</c:f>
              <c:numCache>
                <c:formatCode>"$"#,##0</c:formatCode>
                <c:ptCount val="2"/>
                <c:pt idx="0">
                  <c:v>150000</c:v>
                </c:pt>
                <c:pt idx="1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CTP!$B$4</c:f>
              <c:strCache>
                <c:ptCount val="1"/>
                <c:pt idx="0">
                  <c:v>CAPEX infraestructura de carga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(CTP!$C$4,CTP!$E$4)</c:f>
              <c:numCache>
                <c:formatCode>"$"#,##0</c:formatCode>
                <c:ptCount val="2"/>
                <c:pt idx="0">
                  <c:v>0</c:v>
                </c:pt>
                <c:pt idx="1">
                  <c:v>12100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CTP!$B$5</c:f>
              <c:strCache>
                <c:ptCount val="1"/>
                <c:pt idx="0">
                  <c:v>CAPEX conexión a la red</c:v>
                </c:pt>
              </c:strCache>
            </c:strRef>
          </c:tx>
          <c:spPr>
            <a:solidFill>
              <a:srgbClr val="C39BE1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(CTP!$C$5,CTP!$E$5)</c:f>
              <c:numCache>
                <c:formatCode>"$"#,##0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58-4AAD-9704-82523203AEB0}"/>
            </c:ext>
          </c:extLst>
        </c:ser>
        <c:ser>
          <c:idx val="3"/>
          <c:order val="3"/>
          <c:tx>
            <c:strRef>
              <c:f>CTP!$B$6</c:f>
              <c:strCache>
                <c:ptCount val="1"/>
                <c:pt idx="0">
                  <c:v>CAPEX mejoras en depósito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(CTP!$C$6,CTP!$E$6)</c:f>
              <c:numCache>
                <c:formatCode>"$"#,##0</c:formatCode>
                <c:ptCount val="2"/>
                <c:pt idx="0">
                  <c:v>0</c:v>
                </c:pt>
                <c:pt idx="1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58-4AAD-9704-82523203AEB0}"/>
            </c:ext>
          </c:extLst>
        </c:ser>
        <c:ser>
          <c:idx val="4"/>
          <c:order val="4"/>
          <c:tx>
            <c:strRef>
              <c:f>CTP!$B$7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(CTP!$C$7,CTP!$E$7)</c:f>
              <c:numCache>
                <c:formatCode>"$"#,##0</c:formatCode>
                <c:ptCount val="2"/>
                <c:pt idx="0">
                  <c:v>0</c:v>
                </c:pt>
                <c:pt idx="1">
                  <c:v>18000.000000000004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8-4AAD-9704-82523203AEB0}"/>
            </c:ext>
          </c:extLst>
        </c:ser>
        <c:ser>
          <c:idx val="5"/>
          <c:order val="5"/>
          <c:tx>
            <c:strRef>
              <c:f>CTP!$B$8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(CTP!$C$8,CTP!$E$8)</c:f>
              <c:numCache>
                <c:formatCode>"$"#,##0</c:formatCode>
                <c:ptCount val="2"/>
                <c:pt idx="0">
                  <c:v>7500</c:v>
                </c:pt>
                <c:pt idx="1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7"/>
          <c:order val="6"/>
          <c:tx>
            <c:strRef>
              <c:f>CTP!$B$12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(CTP!$C$12,CTP!$E$12)</c:f>
              <c:numCache>
                <c:formatCode>"$"#,##0</c:formatCode>
                <c:ptCount val="2"/>
                <c:pt idx="0">
                  <c:v>13620.778509859359</c:v>
                </c:pt>
                <c:pt idx="1">
                  <c:v>27241.557019718719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CTP!$B$13</c:f>
              <c:strCache>
                <c:ptCount val="1"/>
                <c:pt idx="0">
                  <c:v>Costos mantenimiento bus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(CTP!$C$13,CTP!$E$13)</c:f>
              <c:numCache>
                <c:formatCode>"$"#,##0</c:formatCode>
                <c:ptCount val="2"/>
                <c:pt idx="0">
                  <c:v>122810.81081081083</c:v>
                </c:pt>
                <c:pt idx="1">
                  <c:v>39956.75675675676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9"/>
          <c:order val="8"/>
          <c:tx>
            <c:strRef>
              <c:f>CTP!$B$14</c:f>
              <c:strCache>
                <c:ptCount val="1"/>
                <c:pt idx="0">
                  <c:v>Costos mantenimiento infraestructura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(CTP!$C$14,CTP!$E$14)</c:f>
              <c:numCache>
                <c:formatCode>"$"#,##0</c:formatCode>
                <c:ptCount val="2"/>
                <c:pt idx="0">
                  <c:v>0</c:v>
                </c:pt>
                <c:pt idx="1">
                  <c:v>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58-4AAD-9704-82523203AEB0}"/>
            </c:ext>
          </c:extLst>
        </c:ser>
        <c:ser>
          <c:idx val="10"/>
          <c:order val="9"/>
          <c:tx>
            <c:strRef>
              <c:f>CTP!$B$15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(CTP!$C$15,CTP!$E$15)</c:f>
              <c:numCache>
                <c:formatCode>"$"#,##0</c:formatCode>
                <c:ptCount val="2"/>
                <c:pt idx="0">
                  <c:v>397366.40000000008</c:v>
                </c:pt>
                <c:pt idx="1">
                  <c:v>63611.155200000016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0"/>
          <c:tx>
            <c:strRef>
              <c:f>CTP!$B$18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(CTP!$C$18,CTP!$E$18)</c:f>
              <c:numCache>
                <c:formatCode>"$"#,##0</c:formatCode>
                <c:ptCount val="2"/>
                <c:pt idx="0">
                  <c:v>34860.572159999996</c:v>
                </c:pt>
                <c:pt idx="1">
                  <c:v>883.20000000000027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CTP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CTP!$B$36</c:f>
              <c:strCache>
                <c:ptCount val="1"/>
                <c:pt idx="0">
                  <c:v>CAPEX bus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CTP!$C$36:$D$36</c:f>
              <c:numCache>
                <c:formatCode>"$"#,##0.000</c:formatCode>
                <c:ptCount val="2"/>
                <c:pt idx="0">
                  <c:v>0.1875</c:v>
                </c:pt>
                <c:pt idx="1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CTP!$B$37</c:f>
              <c:strCache>
                <c:ptCount val="1"/>
                <c:pt idx="0">
                  <c:v>CAPEX infraestructura de carga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CTP!$C$37:$D$37</c:f>
              <c:numCache>
                <c:formatCode>"$"#,##0.000</c:formatCode>
                <c:ptCount val="2"/>
                <c:pt idx="0">
                  <c:v>0</c:v>
                </c:pt>
                <c:pt idx="1">
                  <c:v>1.5125E-2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CTP!$B$38</c:f>
              <c:strCache>
                <c:ptCount val="1"/>
                <c:pt idx="0">
                  <c:v>CAPEX conexión a la red</c:v>
                </c:pt>
              </c:strCache>
            </c:strRef>
          </c:tx>
          <c:spPr>
            <a:solidFill>
              <a:srgbClr val="C39BE1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CTP!$C$38:$D$38</c:f>
              <c:numCache>
                <c:formatCode>"$"#,##0.000</c:formatCode>
                <c:ptCount val="2"/>
                <c:pt idx="0">
                  <c:v>0</c:v>
                </c:pt>
                <c:pt idx="1">
                  <c:v>2.5000000000000001E-3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58-4AAD-9704-82523203AEB0}"/>
            </c:ext>
          </c:extLst>
        </c:ser>
        <c:ser>
          <c:idx val="3"/>
          <c:order val="3"/>
          <c:tx>
            <c:strRef>
              <c:f>CTP!$B$39</c:f>
              <c:strCache>
                <c:ptCount val="1"/>
                <c:pt idx="0">
                  <c:v>CAPEX mejoras en depósito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CTP!$C$39:$D$39</c:f>
              <c:numCache>
                <c:formatCode>"$"#,##0.000</c:formatCode>
                <c:ptCount val="2"/>
                <c:pt idx="0">
                  <c:v>0</c:v>
                </c:pt>
                <c:pt idx="1">
                  <c:v>9.3749999999999997E-3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58-4AAD-9704-82523203AEB0}"/>
            </c:ext>
          </c:extLst>
        </c:ser>
        <c:ser>
          <c:idx val="4"/>
          <c:order val="4"/>
          <c:tx>
            <c:strRef>
              <c:f>CTP!$B$40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CTP!$C$40:$D$40</c:f>
              <c:numCache>
                <c:formatCode>"$"#,##0.000</c:formatCode>
                <c:ptCount val="2"/>
                <c:pt idx="0">
                  <c:v>0</c:v>
                </c:pt>
                <c:pt idx="1">
                  <c:v>2.2500000000000006E-2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8-4AAD-9704-82523203AEB0}"/>
            </c:ext>
          </c:extLst>
        </c:ser>
        <c:ser>
          <c:idx val="5"/>
          <c:order val="5"/>
          <c:tx>
            <c:strRef>
              <c:f>CTP!$B$41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CTP!$C$41:$D$41</c:f>
              <c:numCache>
                <c:formatCode>"$"#,##0.000</c:formatCode>
                <c:ptCount val="2"/>
                <c:pt idx="0">
                  <c:v>9.3749999999999997E-3</c:v>
                </c:pt>
                <c:pt idx="1">
                  <c:v>1.8749999999999999E-2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7"/>
          <c:order val="6"/>
          <c:tx>
            <c:strRef>
              <c:f>CTP!$B$45</c:f>
              <c:strCache>
                <c:ptCount val="1"/>
                <c:pt idx="0">
                  <c:v>Costo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CTP!$C$45:$D$45</c:f>
              <c:numCache>
                <c:formatCode>"$"#,##0.000</c:formatCode>
                <c:ptCount val="2"/>
                <c:pt idx="0">
                  <c:v>1.70259731373242E-2</c:v>
                </c:pt>
                <c:pt idx="1">
                  <c:v>3.4051946274648401E-2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CTP!$B$46</c:f>
              <c:strCache>
                <c:ptCount val="1"/>
                <c:pt idx="0">
                  <c:v>Costos mantenimiento bus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CTP!$C$46:$D$46</c:f>
              <c:numCache>
                <c:formatCode>"$"#,##0.000</c:formatCode>
                <c:ptCount val="2"/>
                <c:pt idx="0">
                  <c:v>0.15351351351351353</c:v>
                </c:pt>
                <c:pt idx="1">
                  <c:v>4.9945945945945952E-2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9"/>
          <c:order val="8"/>
          <c:tx>
            <c:strRef>
              <c:f>CTP!$B$47</c:f>
              <c:strCache>
                <c:ptCount val="1"/>
                <c:pt idx="0">
                  <c:v>Costos mantenimiento infraestructura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CTP!$C$47:$D$47</c:f>
              <c:numCache>
                <c:formatCode>"$"#,##0.000</c:formatCode>
                <c:ptCount val="2"/>
                <c:pt idx="0">
                  <c:v>0</c:v>
                </c:pt>
                <c:pt idx="1">
                  <c:v>8.6400000000000001E-3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58-4AAD-9704-82523203AEB0}"/>
            </c:ext>
          </c:extLst>
        </c:ser>
        <c:ser>
          <c:idx val="10"/>
          <c:order val="9"/>
          <c:tx>
            <c:strRef>
              <c:f>CTP!$B$48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CTP!$C$48:$D$48</c:f>
              <c:numCache>
                <c:formatCode>"$"#,##0.000</c:formatCode>
                <c:ptCount val="2"/>
                <c:pt idx="0">
                  <c:v>0.49670800000000009</c:v>
                </c:pt>
                <c:pt idx="1">
                  <c:v>7.9513944000000017E-2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0"/>
          <c:tx>
            <c:strRef>
              <c:f>CTP!$B$49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CTP!$C$34:$D$34</c:f>
              <c:strCache>
                <c:ptCount val="2"/>
                <c:pt idx="0">
                  <c:v>Ómnibus Diésel</c:v>
                </c:pt>
                <c:pt idx="1">
                  <c:v>Ómnibus Eléctrico</c:v>
                </c:pt>
              </c:strCache>
            </c:strRef>
          </c:cat>
          <c:val>
            <c:numRef>
              <c:f>CTP!$C$49:$D$49</c:f>
              <c:numCache>
                <c:formatCode>"$"#,##0.000</c:formatCode>
                <c:ptCount val="2"/>
                <c:pt idx="0">
                  <c:v>4.3575715199999997E-2</c:v>
                </c:pt>
                <c:pt idx="1">
                  <c:v>1.1040000000000004E-3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CTP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2177931338934"/>
          <c:y val="0.16713091922005571"/>
          <c:w val="0.75662429165546652"/>
          <c:h val="0.64410728255068406"/>
        </c:manualLayout>
      </c:layout>
      <c:scatterChart>
        <c:scatterStyle val="lineMarker"/>
        <c:varyColors val="0"/>
        <c:ser>
          <c:idx val="0"/>
          <c:order val="0"/>
          <c:tx>
            <c:strRef>
              <c:f>CTP!$C$138</c:f>
              <c:strCache>
                <c:ptCount val="1"/>
                <c:pt idx="0">
                  <c:v>Bus Diésel</c:v>
                </c:pt>
              </c:strCache>
            </c:strRef>
          </c:tx>
          <c:spPr>
            <a:ln w="63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CTP!$B$139:$B$141</c:f>
              <c:numCache>
                <c:formatCode>0</c:formatCode>
                <c:ptCount val="3"/>
                <c:pt idx="0">
                  <c:v>25000</c:v>
                </c:pt>
                <c:pt idx="1">
                  <c:v>50000</c:v>
                </c:pt>
                <c:pt idx="2">
                  <c:v>80000</c:v>
                </c:pt>
              </c:numCache>
            </c:numRef>
          </c:xVal>
          <c:yVal>
            <c:numRef>
              <c:f>CTP!$C$139:$C$141</c:f>
              <c:numCache>
                <c:formatCode>"$"#,##0.000</c:formatCode>
                <c:ptCount val="3"/>
                <c:pt idx="0">
                  <c:v>1.121599174988162</c:v>
                </c:pt>
                <c:pt idx="1">
                  <c:v>0.90769820185083794</c:v>
                </c:pt>
                <c:pt idx="2">
                  <c:v>0.82748533692434134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5-4685-A980-F39845027EA2}"/>
            </c:ext>
          </c:extLst>
        </c:ser>
        <c:ser>
          <c:idx val="1"/>
          <c:order val="2"/>
          <c:tx>
            <c:strRef>
              <c:f>CTP!$D$138</c:f>
              <c:strCache>
                <c:ptCount val="1"/>
                <c:pt idx="0">
                  <c:v>Eléctrico</c:v>
                </c:pt>
              </c:strCache>
            </c:strRef>
          </c:tx>
          <c:spPr>
            <a:ln w="63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CTP!$B$139:$B$141</c:f>
              <c:numCache>
                <c:formatCode>0</c:formatCode>
                <c:ptCount val="3"/>
                <c:pt idx="0">
                  <c:v>25000</c:v>
                </c:pt>
                <c:pt idx="1">
                  <c:v>50000</c:v>
                </c:pt>
                <c:pt idx="2">
                  <c:v>80000</c:v>
                </c:pt>
              </c:numCache>
            </c:numRef>
          </c:xVal>
          <c:yVal>
            <c:numRef>
              <c:f>CTP!$D$139:$D$141</c:f>
              <c:numCache>
                <c:formatCode>"$"#,##0.000</c:formatCode>
                <c:ptCount val="3"/>
                <c:pt idx="0">
                  <c:v>1.0791127264952427</c:v>
                </c:pt>
                <c:pt idx="1">
                  <c:v>0.61650583622059441</c:v>
                </c:pt>
                <c:pt idx="2">
                  <c:v>0.4543847304926012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5-4685-A980-F3984502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46095"/>
        <c:axId val="217253583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CTP!$C$142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00B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CTP!$B$139:$B$141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25000</c:v>
                      </c:pt>
                      <c:pt idx="1">
                        <c:v>50000</c:v>
                      </c:pt>
                      <c:pt idx="2">
                        <c:v>80000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CTP!$C$143:$C$145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EE51-4D0E-B4FB-C98CD706D47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92D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CTP!$B$139:$B$141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25000</c:v>
                      </c:pt>
                      <c:pt idx="1">
                        <c:v>50000</c:v>
                      </c:pt>
                      <c:pt idx="2">
                        <c:v>80000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CTP!$D$143:$D$145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E51-4D0E-B4FB-C98CD706D470}"/>
                  </c:ext>
                </c:extLst>
              </c15:ser>
            </c15:filteredScatterSeries>
          </c:ext>
        </c:extLst>
      </c:scatterChart>
      <c:valAx>
        <c:axId val="217246095"/>
        <c:scaling>
          <c:orientation val="minMax"/>
          <c:max val="80000"/>
          <c:min val="2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Kilometraje</a:t>
                </a:r>
                <a:r>
                  <a:rPr lang="es-CO" b="1" baseline="0"/>
                  <a:t> anual (km)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7253583"/>
        <c:crosses val="autoZero"/>
        <c:crossBetween val="midCat"/>
      </c:valAx>
      <c:valAx>
        <c:axId val="217253583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(USD/km)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17246095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402590</xdr:colOff>
      <xdr:row>50</xdr:row>
      <xdr:rowOff>25400</xdr:rowOff>
    </xdr:from>
    <xdr:to>
      <xdr:col>5</xdr:col>
      <xdr:colOff>464343</xdr:colOff>
      <xdr:row>70</xdr:row>
      <xdr:rowOff>97117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450849</xdr:colOff>
      <xdr:row>71</xdr:row>
      <xdr:rowOff>141941</xdr:rowOff>
    </xdr:from>
    <xdr:to>
      <xdr:col>4</xdr:col>
      <xdr:colOff>926352</xdr:colOff>
      <xdr:row>90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1393872</xdr:colOff>
      <xdr:row>144</xdr:row>
      <xdr:rowOff>104541</xdr:rowOff>
    </xdr:from>
    <xdr:to>
      <xdr:col>4</xdr:col>
      <xdr:colOff>32059</xdr:colOff>
      <xdr:row>167</xdr:row>
      <xdr:rowOff>26545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714F9EB-AFD9-4A7C-B173-AE1B9846B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0.1765</cdr:x>
      <cdr:y>0.01485</cdr:y>
    </cdr:from>
    <cdr:to>
      <cdr:x>0.34302</cdr:x>
      <cdr:y>0.14574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B7BA026-443A-4CC6-A0BA-A392067C3F97}"/>
            </a:ext>
          </a:extLst>
        </cdr:cNvPr>
        <cdr:cNvSpPr txBox="1"/>
      </cdr:nvSpPr>
      <cdr:spPr>
        <a:xfrm xmlns:a="http://schemas.openxmlformats.org/drawingml/2006/main">
          <a:off x="1252036" y="52723"/>
          <a:ext cx="1181241" cy="464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726,159 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0.9 USD/km</a:t>
          </a:r>
        </a:p>
      </cdr:txBody>
    </cdr:sp>
  </cdr:relSizeAnchor>
  <cdr:relSizeAnchor xmlns:cdr="http://schemas.openxmlformats.org/drawingml/2006/chartDrawing">
    <cdr:from>
      <cdr:x>0.43232</cdr:x>
      <cdr:y>0.24348</cdr:y>
    </cdr:from>
    <cdr:to>
      <cdr:x>0.60196</cdr:x>
      <cdr:y>0.35852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3066768" y="864439"/>
          <a:ext cx="1203373" cy="408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505,205</a:t>
          </a:r>
          <a:r>
            <a:rPr lang="es-CO" sz="1100" b="1" baseline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0.6 USD</a:t>
          </a:r>
          <a:r>
            <a:rPr lang="es-CO" sz="1100" b="1" baseline="0">
              <a:solidFill>
                <a:srgbClr val="00B0F0"/>
              </a:solidFill>
              <a:latin typeface="Century Gothic" panose="020B0502020202020204" pitchFamily="34" charset="0"/>
            </a:rPr>
            <a:t>/km</a:t>
          </a:r>
          <a:endParaRPr lang="es-CO" sz="1100" b="1">
            <a:solidFill>
              <a:srgbClr val="00B0F0"/>
            </a:solidFill>
            <a:latin typeface="Century Gothic" panose="020B0502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0.15519</cdr:x>
      <cdr:y>0.05413</cdr:y>
    </cdr:from>
    <cdr:to>
      <cdr:x>0.37566</cdr:x>
      <cdr:y>0.13954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E812C97-54E6-4E06-A621-B1DAC0E56774}"/>
            </a:ext>
          </a:extLst>
        </cdr:cNvPr>
        <cdr:cNvSpPr txBox="1"/>
      </cdr:nvSpPr>
      <cdr:spPr>
        <a:xfrm xmlns:a="http://schemas.openxmlformats.org/drawingml/2006/main">
          <a:off x="965846" y="179463"/>
          <a:ext cx="1372124" cy="283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0.908 USD/km</a:t>
          </a:r>
        </a:p>
      </cdr:txBody>
    </cdr:sp>
  </cdr:relSizeAnchor>
  <cdr:relSizeAnchor xmlns:cdr="http://schemas.openxmlformats.org/drawingml/2006/chartDrawing">
    <cdr:from>
      <cdr:x>0.4226</cdr:x>
      <cdr:y>0.28282</cdr:y>
    </cdr:from>
    <cdr:to>
      <cdr:x>0.61806</cdr:x>
      <cdr:y>0.36823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2630092" y="937626"/>
          <a:ext cx="1216471" cy="283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0.617 USD/km</a:t>
          </a:r>
        </a:p>
        <a:p xmlns:a="http://schemas.openxmlformats.org/drawingml/2006/main">
          <a:pPr algn="ctr"/>
          <a:endParaRPr lang="es-CO" sz="1100" b="1">
            <a:solidFill>
              <a:srgbClr val="002060"/>
            </a:solidFill>
            <a:latin typeface="Century Gothic" panose="020B0502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45</xdr:row>
      <xdr:rowOff>0</xdr:rowOff>
    </xdr:from>
    <xdr:to>
      <xdr:col>10</xdr:col>
      <xdr:colOff>542925</xdr:colOff>
      <xdr:row>46</xdr:row>
      <xdr:rowOff>165150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5C32BC-48E8-4C6B-AD75-E766F6D21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1456957"/>
          <a:ext cx="3175" cy="650925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0026718A-A7CE-4CF3-AABB-420AE8E79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0150" y="8620125"/>
          <a:ext cx="0" cy="346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9</xdr:col>
      <xdr:colOff>20654</xdr:colOff>
      <xdr:row>16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08876D-0F4A-4DBA-A81E-020FFBB1B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0500"/>
          <a:ext cx="6107129" cy="300990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0</xdr:row>
      <xdr:rowOff>161926</xdr:rowOff>
    </xdr:from>
    <xdr:to>
      <xdr:col>17</xdr:col>
      <xdr:colOff>77567</xdr:colOff>
      <xdr:row>21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224578-311D-4E1E-AC65-ABF814B1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5" y="161926"/>
          <a:ext cx="5916392" cy="388619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an Marquez" id="{56892E4F-362E-48EF-8287-D83B2A739FFA}" userId="Juan Marquez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5" dT="2022-03-10T15:17:47.28" personId="{56892E4F-362E-48EF-8287-D83B2A739FFA}" id="{644F91A5-4CB7-497F-9CE5-06AC1EFBA352}">
    <text>Colocar un valor superior al que arroje el cálculo de la celda de arriba</text>
  </threadedComment>
  <threadedComment ref="H65" dT="2022-03-10T15:18:23.06" personId="{56892E4F-362E-48EF-8287-D83B2A739FFA}" id="{8323CB85-3FAC-49D7-90D2-F163026F4EC5}">
    <text>Colocar un valor superior al que arroje el cálculo de la celda de arriba</text>
  </threadedComment>
  <threadedComment ref="I65" dT="2022-03-10T15:18:26.53" personId="{56892E4F-362E-48EF-8287-D83B2A739FFA}" id="{0A5DAB9E-6339-4975-9B69-FCA32A65DBA4}">
    <text>Colocar un valor superior al que arroje el cálculo de la celda de arriba</text>
  </threadedComment>
  <threadedComment ref="C69" dT="2022-03-10T15:18:17.64" personId="{56892E4F-362E-48EF-8287-D83B2A739FFA}" id="{8D7CB86F-7E4C-4B63-9BD2-3138B045962B}">
    <text>Colocar un valor superior al que arroje el cálculo de la celda de arriba</text>
  </threadedComment>
  <threadedComment ref="H69" dT="2022-03-10T15:18:30.59" personId="{56892E4F-362E-48EF-8287-D83B2A739FFA}" id="{AA96CA4A-42EE-4AE4-AC1F-E65634C53E93}">
    <text>Colocar un valor superior al que arroje el cálculo de la celda de arriba</text>
  </threadedComment>
  <threadedComment ref="I69" dT="2022-03-10T15:18:34.17" personId="{56892E4F-362E-48EF-8287-D83B2A739FFA}" id="{0A453CD1-5DB8-44F9-8D0F-1E14BF49AD47}">
    <text>Colocar un valor superior al que arroje el cálculo de la celda de arriba</text>
  </threadedComment>
</ThreadedComment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e.com.uy/sites/default/files/docs/Pliego%20Tarifario%20Vigente%20desde%201%20de%20Enero%20de%202022.pdf" TargetMode="External"/><Relationship Id="rId3" Type="http://schemas.openxmlformats.org/officeDocument/2006/relationships/hyperlink" Target="https://www.energy.gov/sites/prod/files/2017/02/f34/67089%20EERE%20LIB%20cost%20vs%20price%20metrics%20r9.pdf" TargetMode="External"/><Relationship Id="rId7" Type="http://schemas.openxmlformats.org/officeDocument/2006/relationships/hyperlink" Target="https://www.gub.uy/ministerio-industria-energia-mineria/comunicacion/convocatorias/primera-convocatoria-subsidio-para-sustitucion-omnibus-motor-diesel" TargetMode="External"/><Relationship Id="rId12" Type="http://schemas.microsoft.com/office/2017/10/relationships/threadedComment" Target="../threadedComments/threadedComment1.xml"/><Relationship Id="rId2" Type="http://schemas.openxmlformats.org/officeDocument/2006/relationships/hyperlink" Target="https://www.ancap.com.uy/2093/1/precios-combustibles.html" TargetMode="Externa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www.gub.uy/ministerio-industria-energia-mineria/comunicacion/convocatorias/primera-convocatoria-subsidio-para-sustitucion-omnibus-motor-diesel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montevideo.gub.uy/sites/default/files/biblioteca/imsubsidiosaltransportedigital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energy.gov/sites/prod/files/2017/02/f34/67089%20EERE%20LIB%20cost%20vs%20price%20metrics%20r9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8377-1E65-44F5-A241-8ABDE1BA52D7}">
  <dimension ref="A1:O14"/>
  <sheetViews>
    <sheetView tabSelected="1" zoomScaleNormal="100" workbookViewId="0">
      <selection sqref="A1:O1"/>
    </sheetView>
  </sheetViews>
  <sheetFormatPr defaultColWidth="11.42578125" defaultRowHeight="16.5"/>
  <cols>
    <col min="1" max="15" width="11.85546875" style="236" customWidth="1"/>
    <col min="16" max="16384" width="11.42578125" style="236"/>
  </cols>
  <sheetData>
    <row r="1" spans="1:15" ht="17.25" thickBot="1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</row>
    <row r="2" spans="1:15">
      <c r="A2" s="237"/>
      <c r="O2" s="238"/>
    </row>
    <row r="3" spans="1:15">
      <c r="A3" s="237" t="s">
        <v>1</v>
      </c>
      <c r="O3" s="238"/>
    </row>
    <row r="4" spans="1:15">
      <c r="A4" s="237"/>
      <c r="O4" s="238"/>
    </row>
    <row r="5" spans="1:15">
      <c r="A5" s="239"/>
      <c r="B5" s="236" t="s">
        <v>2</v>
      </c>
      <c r="O5" s="238"/>
    </row>
    <row r="6" spans="1:15">
      <c r="A6" s="237"/>
      <c r="O6" s="238"/>
    </row>
    <row r="7" spans="1:15">
      <c r="A7" s="240"/>
      <c r="B7" s="236" t="s">
        <v>3</v>
      </c>
      <c r="O7" s="238"/>
    </row>
    <row r="8" spans="1:15">
      <c r="A8" s="237"/>
      <c r="O8" s="238"/>
    </row>
    <row r="9" spans="1:15">
      <c r="A9" s="241"/>
      <c r="B9" s="236" t="s">
        <v>4</v>
      </c>
      <c r="O9" s="238"/>
    </row>
    <row r="10" spans="1:15">
      <c r="A10" s="237"/>
      <c r="O10" s="238"/>
    </row>
    <row r="11" spans="1:15">
      <c r="A11" s="237"/>
      <c r="O11" s="238"/>
    </row>
    <row r="12" spans="1:15">
      <c r="A12" s="237" t="s">
        <v>5</v>
      </c>
      <c r="O12" s="238"/>
    </row>
    <row r="13" spans="1:15">
      <c r="A13" s="237"/>
      <c r="O13" s="238"/>
    </row>
    <row r="14" spans="1:15" ht="17.25" thickBot="1">
      <c r="A14" s="242" t="s">
        <v>6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4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N158"/>
  <sheetViews>
    <sheetView zoomScale="115" zoomScaleNormal="115" workbookViewId="0">
      <selection sqref="A1:F1"/>
    </sheetView>
  </sheetViews>
  <sheetFormatPr defaultColWidth="10.85546875" defaultRowHeight="13.5"/>
  <cols>
    <col min="1" max="1" width="43.42578125" style="8" customWidth="1"/>
    <col min="2" max="3" width="18.140625" style="8" customWidth="1"/>
    <col min="4" max="4" width="57" style="8" customWidth="1"/>
    <col min="5" max="5" width="20.42578125" style="8" customWidth="1"/>
    <col min="6" max="7" width="23.85546875" style="8" customWidth="1"/>
    <col min="8" max="10" width="20.28515625" style="8" customWidth="1"/>
    <col min="11" max="14" width="18.7109375" style="8" customWidth="1"/>
    <col min="15" max="16384" width="10.85546875" style="8"/>
  </cols>
  <sheetData>
    <row r="1" spans="1:11" s="4" customFormat="1">
      <c r="A1" s="248" t="s">
        <v>7</v>
      </c>
      <c r="B1" s="248"/>
      <c r="C1" s="248"/>
      <c r="D1" s="248"/>
      <c r="E1" s="248"/>
      <c r="F1" s="248"/>
      <c r="G1" s="159"/>
    </row>
    <row r="2" spans="1:11" s="4" customFormat="1">
      <c r="C2" s="5"/>
      <c r="D2" s="5"/>
      <c r="E2" s="5"/>
    </row>
    <row r="3" spans="1:11" s="4" customFormat="1">
      <c r="C3" s="5"/>
      <c r="D3" s="5"/>
      <c r="E3" s="5"/>
    </row>
    <row r="4" spans="1:11" s="4" customFormat="1">
      <c r="A4" s="249" t="s">
        <v>8</v>
      </c>
      <c r="B4" s="249"/>
      <c r="C4" s="249"/>
      <c r="D4" s="249"/>
      <c r="E4" s="249"/>
      <c r="F4" s="249"/>
      <c r="G4" s="158"/>
    </row>
    <row r="5" spans="1:11" s="4" customFormat="1" ht="14.25">
      <c r="A5" s="6" t="s">
        <v>9</v>
      </c>
      <c r="C5" s="5"/>
      <c r="D5" s="5"/>
      <c r="E5" s="5"/>
      <c r="F5" s="133" t="s">
        <v>10</v>
      </c>
      <c r="G5" s="133" t="s">
        <v>11</v>
      </c>
      <c r="H5" s="133" t="s">
        <v>12</v>
      </c>
      <c r="I5" s="133" t="s">
        <v>13</v>
      </c>
    </row>
    <row r="6" spans="1:11" s="4" customFormat="1" ht="16.5">
      <c r="A6" s="7" t="s">
        <v>10</v>
      </c>
      <c r="B6" s="7" t="s">
        <v>11</v>
      </c>
      <c r="C6" s="7" t="s">
        <v>14</v>
      </c>
      <c r="D6" s="7" t="s">
        <v>15</v>
      </c>
      <c r="E6" s="8"/>
      <c r="F6" s="134" t="s">
        <v>16</v>
      </c>
      <c r="G6" s="134" t="s">
        <v>17</v>
      </c>
      <c r="H6" s="135">
        <f>$C$7</f>
        <v>150000</v>
      </c>
      <c r="I6" s="135">
        <f>$C$42</f>
        <v>300000</v>
      </c>
    </row>
    <row r="7" spans="1:11" s="4" customFormat="1" ht="28.5" customHeight="1">
      <c r="A7" s="9" t="s">
        <v>18</v>
      </c>
      <c r="B7" s="9" t="s">
        <v>19</v>
      </c>
      <c r="C7" s="107">
        <v>150000</v>
      </c>
      <c r="D7" s="3" t="s">
        <v>20</v>
      </c>
      <c r="E7" s="98" t="s">
        <v>21</v>
      </c>
      <c r="F7" s="134" t="s">
        <v>22</v>
      </c>
      <c r="G7" s="134" t="s">
        <v>23</v>
      </c>
      <c r="H7" s="136" t="s">
        <v>24</v>
      </c>
      <c r="I7" s="142">
        <f>$C$43</f>
        <v>200</v>
      </c>
    </row>
    <row r="8" spans="1:11" s="4" customFormat="1" ht="28.5" customHeight="1">
      <c r="A8" s="9" t="s">
        <v>25</v>
      </c>
      <c r="B8" s="9" t="s">
        <v>26</v>
      </c>
      <c r="C8" s="17">
        <v>16</v>
      </c>
      <c r="D8" s="99" t="s">
        <v>27</v>
      </c>
      <c r="E8" s="8"/>
      <c r="F8" s="134" t="s">
        <v>28</v>
      </c>
      <c r="G8" s="134" t="s">
        <v>17</v>
      </c>
      <c r="H8" s="137" t="s">
        <v>24</v>
      </c>
      <c r="I8" s="142">
        <f>SUM($C$28:$C$30)</f>
        <v>12000</v>
      </c>
    </row>
    <row r="9" spans="1:11" s="4" customFormat="1" ht="28.5" customHeight="1">
      <c r="A9" s="9" t="s">
        <v>29</v>
      </c>
      <c r="B9" s="9" t="s">
        <v>30</v>
      </c>
      <c r="C9" s="160">
        <v>40</v>
      </c>
      <c r="D9" s="100" t="s">
        <v>31</v>
      </c>
      <c r="E9" s="8"/>
      <c r="F9" s="134" t="s">
        <v>32</v>
      </c>
      <c r="G9" s="134" t="s">
        <v>26</v>
      </c>
      <c r="H9" s="136">
        <f>$C$8</f>
        <v>16</v>
      </c>
      <c r="I9" s="136">
        <f>$C$17</f>
        <v>16</v>
      </c>
    </row>
    <row r="10" spans="1:11" s="4" customFormat="1" ht="28.5" customHeight="1">
      <c r="A10" s="9" t="s">
        <v>33</v>
      </c>
      <c r="B10" s="9" t="s">
        <v>34</v>
      </c>
      <c r="C10" s="161">
        <v>1.3783783783783801E-2</v>
      </c>
      <c r="D10" s="3" t="s">
        <v>35</v>
      </c>
      <c r="E10" s="8"/>
      <c r="F10" s="134" t="s">
        <v>36</v>
      </c>
      <c r="G10" s="134" t="s">
        <v>26</v>
      </c>
      <c r="H10" s="136" t="s">
        <v>24</v>
      </c>
      <c r="I10" s="136">
        <f>C18</f>
        <v>8</v>
      </c>
    </row>
    <row r="11" spans="1:11" s="4" customFormat="1" ht="28.5" customHeight="1">
      <c r="A11" s="9" t="s">
        <v>37</v>
      </c>
      <c r="B11" s="9" t="s">
        <v>34</v>
      </c>
      <c r="C11" s="161">
        <v>0.11243243243243244</v>
      </c>
      <c r="D11" s="3" t="s">
        <v>35</v>
      </c>
      <c r="E11" s="8"/>
      <c r="F11" s="134" t="s">
        <v>38</v>
      </c>
      <c r="G11" s="134" t="s">
        <v>34</v>
      </c>
      <c r="H11" s="138">
        <f>SUM($C$10:$C$12)</f>
        <v>0.15351351351351353</v>
      </c>
      <c r="I11" s="143">
        <f>SUM($C$20,$C$21,$C$23)</f>
        <v>6.386756756756759E-2</v>
      </c>
    </row>
    <row r="12" spans="1:11" ht="28.5" customHeight="1">
      <c r="A12" s="9" t="s">
        <v>39</v>
      </c>
      <c r="B12" s="9" t="s">
        <v>34</v>
      </c>
      <c r="C12" s="161">
        <v>2.7297297297297296E-2</v>
      </c>
      <c r="D12" s="3" t="s">
        <v>35</v>
      </c>
      <c r="F12" s="134" t="s">
        <v>29</v>
      </c>
      <c r="G12" s="134" t="s">
        <v>24</v>
      </c>
      <c r="H12" s="139" t="s">
        <v>40</v>
      </c>
      <c r="I12" s="139" t="s">
        <v>41</v>
      </c>
      <c r="K12" s="4"/>
    </row>
    <row r="13" spans="1:11" ht="28.5" customHeight="1">
      <c r="F13" s="134" t="s">
        <v>42</v>
      </c>
      <c r="G13" s="134" t="s">
        <v>43</v>
      </c>
      <c r="H13" s="252">
        <f>C52</f>
        <v>50000</v>
      </c>
      <c r="I13" s="252"/>
      <c r="K13" s="4"/>
    </row>
    <row r="14" spans="1:11" ht="28.5" customHeight="1">
      <c r="F14" s="134" t="s">
        <v>44</v>
      </c>
      <c r="G14" s="134" t="s">
        <v>45</v>
      </c>
      <c r="H14" s="252">
        <f>C55</f>
        <v>300</v>
      </c>
      <c r="I14" s="252"/>
      <c r="K14" s="4"/>
    </row>
    <row r="15" spans="1:11" s="4" customFormat="1" ht="24.95" customHeight="1">
      <c r="A15" s="6" t="s">
        <v>46</v>
      </c>
      <c r="C15" s="5"/>
      <c r="D15" s="5"/>
      <c r="E15" s="5"/>
    </row>
    <row r="16" spans="1:11" s="4" customFormat="1">
      <c r="A16" s="7" t="s">
        <v>10</v>
      </c>
      <c r="B16" s="7" t="s">
        <v>11</v>
      </c>
      <c r="C16" s="7" t="s">
        <v>14</v>
      </c>
      <c r="D16" s="7" t="s">
        <v>15</v>
      </c>
      <c r="E16" s="8"/>
      <c r="F16" s="8"/>
      <c r="G16" s="8"/>
      <c r="H16" s="8"/>
    </row>
    <row r="17" spans="1:8" s="4" customFormat="1">
      <c r="A17" s="9" t="s">
        <v>47</v>
      </c>
      <c r="B17" s="9" t="s">
        <v>26</v>
      </c>
      <c r="C17" s="17">
        <v>16</v>
      </c>
      <c r="D17" s="3" t="s">
        <v>48</v>
      </c>
      <c r="E17" s="8"/>
      <c r="F17" s="8"/>
      <c r="G17" s="8"/>
      <c r="H17" s="8"/>
    </row>
    <row r="18" spans="1:8" s="4" customFormat="1">
      <c r="A18" s="9" t="s">
        <v>49</v>
      </c>
      <c r="B18" s="9" t="s">
        <v>26</v>
      </c>
      <c r="C18" s="160">
        <v>8</v>
      </c>
      <c r="D18" s="3" t="s">
        <v>50</v>
      </c>
      <c r="E18" s="8"/>
      <c r="F18" s="8"/>
      <c r="G18" s="8"/>
      <c r="H18" s="8"/>
    </row>
    <row r="19" spans="1:8" s="4" customFormat="1">
      <c r="A19" s="9" t="s">
        <v>29</v>
      </c>
      <c r="B19" s="9" t="s">
        <v>51</v>
      </c>
      <c r="C19" s="160">
        <v>1</v>
      </c>
      <c r="D19" s="3" t="s">
        <v>52</v>
      </c>
      <c r="E19" s="8"/>
      <c r="F19" s="8"/>
      <c r="G19" s="8"/>
      <c r="H19" s="8"/>
    </row>
    <row r="20" spans="1:8" s="4" customFormat="1" ht="40.5">
      <c r="A20" s="9" t="s">
        <v>33</v>
      </c>
      <c r="B20" s="9" t="s">
        <v>34</v>
      </c>
      <c r="C20" s="162">
        <f>C10*1.01</f>
        <v>1.3921621621621638E-2</v>
      </c>
      <c r="D20" s="3" t="s">
        <v>53</v>
      </c>
      <c r="E20" s="8"/>
      <c r="F20" s="8"/>
    </row>
    <row r="21" spans="1:8" s="4" customFormat="1" ht="37.5" customHeight="1">
      <c r="A21" s="9" t="s">
        <v>37</v>
      </c>
      <c r="B21" s="9" t="s">
        <v>34</v>
      </c>
      <c r="C21" s="162">
        <f>C11*0.25</f>
        <v>2.8108108108108109E-2</v>
      </c>
      <c r="D21" s="3" t="s">
        <v>54</v>
      </c>
      <c r="E21" s="8"/>
      <c r="F21" s="8"/>
    </row>
    <row r="22" spans="1:8" ht="27">
      <c r="A22" s="9" t="s">
        <v>55</v>
      </c>
      <c r="B22" s="9" t="s">
        <v>56</v>
      </c>
      <c r="C22" s="163">
        <v>0.02</v>
      </c>
      <c r="D22" s="3" t="s">
        <v>57</v>
      </c>
    </row>
    <row r="23" spans="1:8" ht="40.5">
      <c r="A23" s="9" t="s">
        <v>39</v>
      </c>
      <c r="B23" s="9" t="s">
        <v>34</v>
      </c>
      <c r="C23" s="162">
        <f>C12*0.8</f>
        <v>2.183783783783784E-2</v>
      </c>
      <c r="D23" s="3" t="s">
        <v>58</v>
      </c>
    </row>
    <row r="25" spans="1:8" s="4" customFormat="1">
      <c r="A25" s="6" t="s">
        <v>59</v>
      </c>
      <c r="C25" s="5"/>
      <c r="D25" s="5"/>
      <c r="E25" s="5"/>
    </row>
    <row r="26" spans="1:8" s="4" customFormat="1">
      <c r="A26" s="7" t="s">
        <v>10</v>
      </c>
      <c r="B26" s="7" t="s">
        <v>11</v>
      </c>
      <c r="C26" s="7" t="s">
        <v>14</v>
      </c>
      <c r="D26" s="7" t="s">
        <v>15</v>
      </c>
      <c r="E26" s="8"/>
      <c r="F26" s="8"/>
    </row>
    <row r="27" spans="1:8" s="4" customFormat="1" ht="27">
      <c r="A27" s="9" t="s">
        <v>60</v>
      </c>
      <c r="B27" s="9" t="s">
        <v>61</v>
      </c>
      <c r="C27" s="164">
        <v>120</v>
      </c>
      <c r="D27" s="3" t="s">
        <v>62</v>
      </c>
      <c r="E27" s="8"/>
      <c r="F27" s="8"/>
    </row>
    <row r="28" spans="1:8" s="4" customFormat="1" ht="27">
      <c r="A28" s="9" t="s">
        <v>63</v>
      </c>
      <c r="B28" s="9" t="s">
        <v>17</v>
      </c>
      <c r="C28" s="164">
        <v>2500</v>
      </c>
      <c r="D28" s="3" t="s">
        <v>64</v>
      </c>
      <c r="E28" s="8"/>
      <c r="F28" s="8"/>
    </row>
    <row r="29" spans="1:8" s="4" customFormat="1" ht="40.5">
      <c r="A29" s="9" t="s">
        <v>65</v>
      </c>
      <c r="B29" s="9" t="s">
        <v>17</v>
      </c>
      <c r="C29" s="164">
        <v>7500</v>
      </c>
      <c r="D29" s="3" t="s">
        <v>66</v>
      </c>
      <c r="E29" s="8"/>
      <c r="F29" s="8"/>
    </row>
    <row r="30" spans="1:8" s="4" customFormat="1" ht="27">
      <c r="A30" s="9" t="s">
        <v>67</v>
      </c>
      <c r="B30" s="9" t="s">
        <v>17</v>
      </c>
      <c r="C30" s="164">
        <v>2000</v>
      </c>
      <c r="D30" s="99" t="s">
        <v>68</v>
      </c>
      <c r="E30" s="57"/>
      <c r="F30" s="8"/>
      <c r="G30" s="8"/>
      <c r="H30" s="8"/>
    </row>
    <row r="31" spans="1:8" s="4" customFormat="1" ht="37.5" customHeight="1">
      <c r="A31" s="9" t="s">
        <v>69</v>
      </c>
      <c r="B31" s="9" t="s">
        <v>26</v>
      </c>
      <c r="C31" s="165">
        <v>10</v>
      </c>
      <c r="D31" s="3" t="s">
        <v>57</v>
      </c>
      <c r="E31" s="8"/>
      <c r="F31" s="8"/>
      <c r="G31" s="8"/>
      <c r="H31" s="8"/>
    </row>
    <row r="32" spans="1:8">
      <c r="A32" s="9" t="s">
        <v>70</v>
      </c>
      <c r="B32" s="9" t="s">
        <v>26</v>
      </c>
      <c r="C32" s="165">
        <v>20</v>
      </c>
      <c r="D32" s="3" t="s">
        <v>57</v>
      </c>
    </row>
    <row r="33" spans="1:10" s="4" customFormat="1" ht="37.5" customHeight="1">
      <c r="A33" s="9" t="s">
        <v>71</v>
      </c>
      <c r="B33" s="9" t="s">
        <v>26</v>
      </c>
      <c r="C33" s="165">
        <v>20</v>
      </c>
      <c r="D33" s="3" t="s">
        <v>57</v>
      </c>
      <c r="E33" s="8"/>
      <c r="F33" s="8"/>
      <c r="G33" s="8"/>
      <c r="H33" s="8"/>
    </row>
    <row r="35" spans="1:10">
      <c r="A35" s="6" t="s">
        <v>72</v>
      </c>
      <c r="H35" s="13"/>
    </row>
    <row r="36" spans="1:10">
      <c r="A36" s="7" t="s">
        <v>10</v>
      </c>
      <c r="B36" s="7" t="s">
        <v>11</v>
      </c>
      <c r="C36" s="7" t="s">
        <v>14</v>
      </c>
      <c r="D36" s="7" t="s">
        <v>15</v>
      </c>
      <c r="H36" s="14"/>
      <c r="I36" s="15"/>
    </row>
    <row r="37" spans="1:10" s="4" customFormat="1" ht="16.5">
      <c r="A37" s="9" t="s">
        <v>73</v>
      </c>
      <c r="B37" s="9" t="s">
        <v>74</v>
      </c>
      <c r="C37" s="163">
        <v>0.5</v>
      </c>
      <c r="D37" s="3" t="s">
        <v>75</v>
      </c>
      <c r="E37" s="57" t="s">
        <v>76</v>
      </c>
      <c r="F37" s="8"/>
      <c r="G37" s="8"/>
      <c r="H37" s="14"/>
      <c r="J37" s="116"/>
    </row>
    <row r="38" spans="1:10" s="4" customFormat="1" ht="15">
      <c r="A38" s="9" t="s">
        <v>77</v>
      </c>
      <c r="B38" s="9" t="s">
        <v>74</v>
      </c>
      <c r="C38" s="163">
        <v>0.7</v>
      </c>
      <c r="D38" s="3" t="s">
        <v>75</v>
      </c>
      <c r="E38" s="57" t="s">
        <v>76</v>
      </c>
      <c r="F38" s="8"/>
      <c r="G38" s="8"/>
      <c r="H38" s="14"/>
    </row>
    <row r="39" spans="1:10">
      <c r="A39" s="10"/>
      <c r="B39" s="10"/>
      <c r="C39" s="55"/>
      <c r="D39" s="5"/>
      <c r="H39" s="58"/>
      <c r="I39" s="14"/>
    </row>
    <row r="40" spans="1:10">
      <c r="A40" s="6" t="s">
        <v>78</v>
      </c>
      <c r="H40" s="14"/>
      <c r="I40" s="14"/>
    </row>
    <row r="41" spans="1:10">
      <c r="A41" s="7" t="s">
        <v>10</v>
      </c>
      <c r="B41" s="7" t="s">
        <v>11</v>
      </c>
      <c r="C41" s="7" t="s">
        <v>14</v>
      </c>
      <c r="D41" s="7" t="s">
        <v>15</v>
      </c>
      <c r="H41" s="14"/>
      <c r="I41" s="14"/>
    </row>
    <row r="42" spans="1:10">
      <c r="A42" s="9" t="s">
        <v>79</v>
      </c>
      <c r="B42" s="9" t="s">
        <v>19</v>
      </c>
      <c r="C42" s="167">
        <v>300000</v>
      </c>
      <c r="D42" s="56" t="s">
        <v>80</v>
      </c>
      <c r="I42" s="14"/>
      <c r="J42" s="13"/>
    </row>
    <row r="43" spans="1:10">
      <c r="A43" s="9" t="s">
        <v>81</v>
      </c>
      <c r="B43" s="9" t="s">
        <v>23</v>
      </c>
      <c r="C43" s="162">
        <v>200</v>
      </c>
      <c r="D43" s="56" t="s">
        <v>82</v>
      </c>
    </row>
    <row r="44" spans="1:10">
      <c r="A44" s="9" t="s">
        <v>83</v>
      </c>
      <c r="B44" s="9" t="s">
        <v>84</v>
      </c>
      <c r="C44" s="165">
        <f>C65</f>
        <v>300</v>
      </c>
      <c r="D44" s="56"/>
    </row>
    <row r="45" spans="1:10">
      <c r="A45" s="9" t="s">
        <v>85</v>
      </c>
      <c r="B45" s="9" t="s">
        <v>86</v>
      </c>
      <c r="C45" s="166">
        <v>80</v>
      </c>
      <c r="D45" s="56"/>
    </row>
    <row r="47" spans="1:10">
      <c r="A47" s="9" t="s">
        <v>87</v>
      </c>
      <c r="B47" s="9" t="s">
        <v>86</v>
      </c>
      <c r="C47" s="165">
        <f>C69</f>
        <v>35</v>
      </c>
      <c r="D47" s="1"/>
    </row>
    <row r="49" spans="1:13">
      <c r="A49" s="249" t="s">
        <v>88</v>
      </c>
      <c r="B49" s="249"/>
      <c r="C49" s="249"/>
      <c r="D49" s="249"/>
      <c r="E49" s="250" t="s">
        <v>89</v>
      </c>
      <c r="F49" s="250"/>
      <c r="G49" s="250"/>
      <c r="H49" s="250"/>
      <c r="I49" s="250"/>
      <c r="J49" s="250"/>
    </row>
    <row r="50" spans="1:13">
      <c r="H50" s="13" t="s">
        <v>90</v>
      </c>
      <c r="I50" s="13" t="s">
        <v>91</v>
      </c>
    </row>
    <row r="51" spans="1:13">
      <c r="A51" s="7" t="s">
        <v>10</v>
      </c>
      <c r="B51" s="7" t="s">
        <v>11</v>
      </c>
      <c r="C51" s="7" t="s">
        <v>14</v>
      </c>
      <c r="D51" s="7" t="s">
        <v>15</v>
      </c>
      <c r="F51" s="7" t="s">
        <v>10</v>
      </c>
      <c r="G51" s="7" t="s">
        <v>11</v>
      </c>
      <c r="H51" s="253" t="s">
        <v>14</v>
      </c>
      <c r="I51" s="253"/>
    </row>
    <row r="52" spans="1:13" ht="16.5">
      <c r="A52" s="9" t="s">
        <v>92</v>
      </c>
      <c r="B52" s="9" t="s">
        <v>43</v>
      </c>
      <c r="C52" s="17">
        <v>50000</v>
      </c>
      <c r="D52" s="119" t="s">
        <v>93</v>
      </c>
      <c r="F52" s="9" t="s">
        <v>92</v>
      </c>
      <c r="G52" s="9" t="s">
        <v>43</v>
      </c>
      <c r="H52" s="17">
        <v>80000</v>
      </c>
      <c r="I52" s="17">
        <v>25000</v>
      </c>
      <c r="M52" s="116"/>
    </row>
    <row r="53" spans="1:13">
      <c r="A53" s="9" t="s">
        <v>94</v>
      </c>
      <c r="B53" s="9" t="s">
        <v>95</v>
      </c>
      <c r="C53" s="108">
        <f>C52*$C$8</f>
        <v>800000</v>
      </c>
      <c r="D53" s="1"/>
      <c r="F53" s="9" t="s">
        <v>94</v>
      </c>
      <c r="G53" s="9" t="s">
        <v>95</v>
      </c>
      <c r="H53" s="11">
        <f>H52*C8</f>
        <v>1280000</v>
      </c>
      <c r="I53" s="11">
        <f>I52*C8</f>
        <v>400000</v>
      </c>
    </row>
    <row r="54" spans="1:13">
      <c r="A54" s="9" t="s">
        <v>96</v>
      </c>
      <c r="B54" s="9" t="s">
        <v>95</v>
      </c>
      <c r="C54" s="108">
        <f>C52*$C$17</f>
        <v>800000</v>
      </c>
      <c r="D54" s="1"/>
      <c r="F54" s="9" t="s">
        <v>96</v>
      </c>
      <c r="G54" s="9" t="s">
        <v>95</v>
      </c>
      <c r="H54" s="11">
        <f>H52*$C$17</f>
        <v>1280000</v>
      </c>
      <c r="I54" s="11">
        <f>I52*$C$17</f>
        <v>400000</v>
      </c>
    </row>
    <row r="55" spans="1:13">
      <c r="A55" s="9" t="s">
        <v>97</v>
      </c>
      <c r="B55" s="9" t="s">
        <v>45</v>
      </c>
      <c r="C55" s="17">
        <f>25*12</f>
        <v>300</v>
      </c>
      <c r="D55" s="1" t="s">
        <v>35</v>
      </c>
      <c r="F55" s="9" t="s">
        <v>97</v>
      </c>
      <c r="G55" s="9" t="s">
        <v>45</v>
      </c>
      <c r="H55" s="17">
        <v>300</v>
      </c>
      <c r="I55" s="17">
        <v>300</v>
      </c>
    </row>
    <row r="56" spans="1:13" ht="16.5">
      <c r="A56" s="9" t="s">
        <v>98</v>
      </c>
      <c r="B56" s="9" t="s">
        <v>95</v>
      </c>
      <c r="C56" s="11">
        <f>C52/C55</f>
        <v>166.66666666666666</v>
      </c>
      <c r="D56" s="1" t="s">
        <v>99</v>
      </c>
      <c r="F56" s="9" t="s">
        <v>98</v>
      </c>
      <c r="G56" s="9" t="s">
        <v>95</v>
      </c>
      <c r="H56" s="11">
        <f>H52/H55</f>
        <v>266.66666666666669</v>
      </c>
      <c r="I56" s="11">
        <f>I52/I55</f>
        <v>83.333333333333329</v>
      </c>
      <c r="M56" s="116"/>
    </row>
    <row r="57" spans="1:13" ht="12" customHeight="1">
      <c r="A57" s="9" t="s">
        <v>100</v>
      </c>
      <c r="B57" s="9" t="s">
        <v>84</v>
      </c>
      <c r="C57" s="11">
        <f>C56*$C$19</f>
        <v>166.66666666666666</v>
      </c>
      <c r="D57" s="1" t="s">
        <v>99</v>
      </c>
      <c r="F57" s="9" t="s">
        <v>100</v>
      </c>
      <c r="G57" s="9" t="s">
        <v>84</v>
      </c>
      <c r="H57" s="11">
        <f>H56*$C$19</f>
        <v>266.66666666666669</v>
      </c>
      <c r="I57" s="11">
        <f>I56*$C$19</f>
        <v>83.333333333333329</v>
      </c>
    </row>
    <row r="58" spans="1:13" ht="12" customHeight="1">
      <c r="A58" s="10"/>
      <c r="B58" s="10"/>
      <c r="C58" s="16"/>
      <c r="D58" s="5"/>
    </row>
    <row r="59" spans="1:13">
      <c r="A59" s="6" t="s">
        <v>78</v>
      </c>
    </row>
    <row r="60" spans="1:13">
      <c r="A60" s="7" t="s">
        <v>10</v>
      </c>
      <c r="B60" s="7" t="s">
        <v>11</v>
      </c>
      <c r="C60" s="7" t="s">
        <v>14</v>
      </c>
      <c r="D60" s="7" t="s">
        <v>15</v>
      </c>
      <c r="F60" s="7" t="s">
        <v>10</v>
      </c>
      <c r="G60" s="7" t="s">
        <v>11</v>
      </c>
      <c r="H60" s="253" t="s">
        <v>14</v>
      </c>
      <c r="I60" s="253"/>
    </row>
    <row r="61" spans="1:13" ht="24.95" customHeight="1">
      <c r="A61" s="9" t="s">
        <v>101</v>
      </c>
      <c r="B61" s="9" t="s">
        <v>74</v>
      </c>
      <c r="C61" s="168">
        <v>0.1</v>
      </c>
      <c r="D61" s="56" t="s">
        <v>57</v>
      </c>
      <c r="F61" s="9" t="s">
        <v>101</v>
      </c>
      <c r="G61" s="9" t="s">
        <v>74</v>
      </c>
      <c r="H61" s="168">
        <v>0.1</v>
      </c>
      <c r="I61" s="168">
        <v>0.1</v>
      </c>
    </row>
    <row r="62" spans="1:13" ht="24.95" customHeight="1">
      <c r="A62" s="9" t="s">
        <v>102</v>
      </c>
      <c r="B62" s="9" t="s">
        <v>74</v>
      </c>
      <c r="C62" s="168">
        <v>0.2</v>
      </c>
      <c r="D62" s="56" t="s">
        <v>57</v>
      </c>
      <c r="F62" s="9" t="s">
        <v>102</v>
      </c>
      <c r="G62" s="9" t="s">
        <v>74</v>
      </c>
      <c r="H62" s="168">
        <v>0.2</v>
      </c>
      <c r="I62" s="168">
        <v>0.2</v>
      </c>
    </row>
    <row r="63" spans="1:13" ht="24.95" customHeight="1">
      <c r="A63" s="9" t="s">
        <v>103</v>
      </c>
      <c r="B63" s="9" t="s">
        <v>74</v>
      </c>
      <c r="C63" s="168">
        <v>0.2</v>
      </c>
      <c r="D63" s="56" t="s">
        <v>57</v>
      </c>
      <c r="F63" s="9" t="s">
        <v>103</v>
      </c>
      <c r="G63" s="9" t="s">
        <v>74</v>
      </c>
      <c r="H63" s="168">
        <v>0.2</v>
      </c>
      <c r="I63" s="168">
        <v>0.2</v>
      </c>
    </row>
    <row r="64" spans="1:13" ht="24.95" customHeight="1">
      <c r="A64" s="9" t="s">
        <v>104</v>
      </c>
      <c r="B64" s="9" t="s">
        <v>84</v>
      </c>
      <c r="C64" s="11">
        <f>C57/(1-C62)/(1-C61)/(1-C63)</f>
        <v>289.35185185185179</v>
      </c>
      <c r="D64" s="1" t="s">
        <v>99</v>
      </c>
      <c r="F64" s="9" t="s">
        <v>104</v>
      </c>
      <c r="G64" s="9" t="s">
        <v>84</v>
      </c>
      <c r="H64" s="11">
        <f>H57/(1-H62)/(1-H61)/(1-H63)</f>
        <v>462.96296296296288</v>
      </c>
      <c r="I64" s="11">
        <f>I57/(1-I62)/(1-I61)/(1-I63)</f>
        <v>144.6759259259259</v>
      </c>
    </row>
    <row r="65" spans="1:13" ht="24.95" customHeight="1">
      <c r="A65" s="9" t="s">
        <v>104</v>
      </c>
      <c r="B65" s="9" t="s">
        <v>84</v>
      </c>
      <c r="C65" s="12">
        <v>300</v>
      </c>
      <c r="D65" s="1" t="s">
        <v>99</v>
      </c>
      <c r="F65" s="9" t="s">
        <v>104</v>
      </c>
      <c r="G65" s="9" t="s">
        <v>84</v>
      </c>
      <c r="H65" s="12">
        <v>500</v>
      </c>
      <c r="I65" s="12">
        <v>150</v>
      </c>
    </row>
    <row r="66" spans="1:13" ht="40.5">
      <c r="A66" s="9" t="s">
        <v>105</v>
      </c>
      <c r="B66" s="9" t="s">
        <v>74</v>
      </c>
      <c r="C66" s="168">
        <v>0.9</v>
      </c>
      <c r="D66" s="56" t="s">
        <v>57</v>
      </c>
      <c r="F66" s="9" t="s">
        <v>105</v>
      </c>
      <c r="G66" s="9" t="s">
        <v>74</v>
      </c>
      <c r="H66" s="168">
        <v>0.9</v>
      </c>
      <c r="I66" s="168">
        <v>0.9</v>
      </c>
      <c r="M66" s="116"/>
    </row>
    <row r="67" spans="1:13" ht="27">
      <c r="A67" s="9" t="s">
        <v>106</v>
      </c>
      <c r="B67" s="9" t="s">
        <v>107</v>
      </c>
      <c r="C67" s="17">
        <v>6</v>
      </c>
      <c r="D67" s="56" t="s">
        <v>57</v>
      </c>
      <c r="F67" s="9" t="s">
        <v>106</v>
      </c>
      <c r="G67" s="9" t="s">
        <v>107</v>
      </c>
      <c r="H67" s="17">
        <v>6</v>
      </c>
      <c r="I67" s="17">
        <v>6</v>
      </c>
    </row>
    <row r="68" spans="1:13" ht="27">
      <c r="A68" s="9" t="s">
        <v>108</v>
      </c>
      <c r="B68" s="9" t="s">
        <v>86</v>
      </c>
      <c r="C68" s="11">
        <f>C57/C66/C67</f>
        <v>30.864197530864192</v>
      </c>
      <c r="D68" s="1" t="s">
        <v>99</v>
      </c>
      <c r="F68" s="9" t="s">
        <v>108</v>
      </c>
      <c r="G68" s="9" t="s">
        <v>86</v>
      </c>
      <c r="H68" s="11">
        <f>H57/H66/H67</f>
        <v>49.382716049382715</v>
      </c>
      <c r="I68" s="11">
        <f>I57/I66/I67</f>
        <v>15.432098765432096</v>
      </c>
    </row>
    <row r="69" spans="1:13" ht="27">
      <c r="A69" s="9" t="s">
        <v>108</v>
      </c>
      <c r="B69" s="9" t="s">
        <v>86</v>
      </c>
      <c r="C69" s="12">
        <v>35</v>
      </c>
      <c r="D69" s="56" t="s">
        <v>109</v>
      </c>
      <c r="F69" s="9" t="s">
        <v>108</v>
      </c>
      <c r="G69" s="9" t="s">
        <v>86</v>
      </c>
      <c r="H69" s="12">
        <v>50</v>
      </c>
      <c r="I69" s="12">
        <v>20</v>
      </c>
    </row>
    <row r="71" spans="1:13">
      <c r="A71" s="249" t="s">
        <v>110</v>
      </c>
      <c r="B71" s="249"/>
      <c r="C71" s="249"/>
      <c r="D71" s="249"/>
      <c r="E71" s="249"/>
      <c r="F71" s="249"/>
      <c r="G71" s="158"/>
    </row>
    <row r="72" spans="1:13">
      <c r="A72" s="6"/>
    </row>
    <row r="73" spans="1:13">
      <c r="A73" s="7" t="s">
        <v>10</v>
      </c>
      <c r="B73" s="7" t="s">
        <v>11</v>
      </c>
      <c r="C73" s="7" t="s">
        <v>14</v>
      </c>
      <c r="D73" s="7" t="s">
        <v>15</v>
      </c>
    </row>
    <row r="74" spans="1:13">
      <c r="A74" s="9" t="s">
        <v>111</v>
      </c>
      <c r="B74" s="9" t="s">
        <v>74</v>
      </c>
      <c r="C74" s="18">
        <v>0.7</v>
      </c>
      <c r="D74" s="3"/>
    </row>
    <row r="75" spans="1:13">
      <c r="A75" s="9" t="s">
        <v>112</v>
      </c>
      <c r="B75" s="9" t="s">
        <v>26</v>
      </c>
      <c r="C75" s="117">
        <v>7</v>
      </c>
      <c r="D75" s="3"/>
    </row>
    <row r="76" spans="1:13" ht="15">
      <c r="A76" s="9" t="s">
        <v>113</v>
      </c>
      <c r="B76" s="9" t="s">
        <v>114</v>
      </c>
      <c r="C76" s="18">
        <v>0.03</v>
      </c>
      <c r="D76" s="101" t="s">
        <v>115</v>
      </c>
    </row>
    <row r="77" spans="1:13" ht="15">
      <c r="A77" s="9" t="s">
        <v>116</v>
      </c>
      <c r="B77" s="9" t="s">
        <v>114</v>
      </c>
      <c r="C77" s="18">
        <v>0.03</v>
      </c>
      <c r="D77" s="101" t="s">
        <v>115</v>
      </c>
    </row>
    <row r="78" spans="1:13" ht="30">
      <c r="A78" s="9" t="s">
        <v>117</v>
      </c>
      <c r="B78" s="9" t="s">
        <v>118</v>
      </c>
      <c r="C78" s="169">
        <v>2.3E-2</v>
      </c>
      <c r="D78" s="20" t="s">
        <v>119</v>
      </c>
    </row>
    <row r="81" spans="1:14" ht="14.25" thickBot="1">
      <c r="A81" s="249" t="s">
        <v>120</v>
      </c>
      <c r="B81" s="249"/>
      <c r="C81" s="249"/>
      <c r="D81" s="249"/>
      <c r="E81" s="249"/>
      <c r="F81" s="249"/>
      <c r="G81" s="158"/>
    </row>
    <row r="82" spans="1:14">
      <c r="A82" s="144"/>
      <c r="B82" s="173" t="s">
        <v>121</v>
      </c>
      <c r="C82" s="173" t="s">
        <v>122</v>
      </c>
      <c r="D82" s="145"/>
      <c r="E82" s="145"/>
      <c r="F82" s="145"/>
      <c r="G82" s="146"/>
    </row>
    <row r="83" spans="1:14">
      <c r="A83" s="154" t="s">
        <v>123</v>
      </c>
      <c r="B83" s="235">
        <v>53.99</v>
      </c>
      <c r="C83" s="229">
        <f>B83*$C$78</f>
        <v>1.24177</v>
      </c>
      <c r="G83" s="156"/>
    </row>
    <row r="84" spans="1:14">
      <c r="A84" s="154" t="s">
        <v>124</v>
      </c>
      <c r="B84" s="171">
        <v>0</v>
      </c>
      <c r="C84" s="230">
        <f>B84*$C$78</f>
        <v>0</v>
      </c>
      <c r="D84" s="8" t="s">
        <v>125</v>
      </c>
      <c r="G84" s="156"/>
    </row>
    <row r="85" spans="1:14">
      <c r="A85" s="154"/>
      <c r="B85" s="174" t="s">
        <v>126</v>
      </c>
      <c r="C85" s="174" t="s">
        <v>127</v>
      </c>
      <c r="G85" s="156"/>
    </row>
    <row r="86" spans="1:14">
      <c r="A86" s="154" t="s">
        <v>128</v>
      </c>
      <c r="B86" s="172">
        <v>3.363</v>
      </c>
      <c r="C86" s="229">
        <f>B86*$C$78</f>
        <v>7.7349000000000001E-2</v>
      </c>
      <c r="G86" s="156"/>
    </row>
    <row r="87" spans="1:14">
      <c r="A87" s="154"/>
      <c r="B87" s="174" t="s">
        <v>129</v>
      </c>
      <c r="C87" s="174" t="s">
        <v>130</v>
      </c>
      <c r="E87" s="140" t="s">
        <v>131</v>
      </c>
      <c r="F87" s="140"/>
      <c r="G87" s="156"/>
    </row>
    <row r="88" spans="1:14">
      <c r="A88" s="154" t="s">
        <v>132</v>
      </c>
      <c r="B88" s="172">
        <v>0</v>
      </c>
      <c r="C88" s="229">
        <f>B88*$C$78</f>
        <v>0</v>
      </c>
      <c r="D88" s="8" t="s">
        <v>133</v>
      </c>
      <c r="E88" s="234">
        <v>0.5</v>
      </c>
      <c r="G88" s="156"/>
    </row>
    <row r="89" spans="1:14">
      <c r="A89" s="154" t="s">
        <v>134</v>
      </c>
      <c r="B89" s="232">
        <f>B88*E88</f>
        <v>0</v>
      </c>
      <c r="C89" s="229">
        <f>B89*$C$78</f>
        <v>0</v>
      </c>
      <c r="D89" s="8" t="s">
        <v>135</v>
      </c>
      <c r="G89" s="156"/>
    </row>
    <row r="90" spans="1:14">
      <c r="A90" s="154"/>
      <c r="B90" s="174" t="s">
        <v>136</v>
      </c>
      <c r="C90" s="174" t="s">
        <v>137</v>
      </c>
      <c r="G90" s="156"/>
    </row>
    <row r="91" spans="1:14">
      <c r="A91" s="154" t="s">
        <v>138</v>
      </c>
      <c r="B91" s="172">
        <v>784.4</v>
      </c>
      <c r="C91" s="229">
        <f>B91*$C$78</f>
        <v>18.0412</v>
      </c>
      <c r="G91" s="156"/>
    </row>
    <row r="92" spans="1:14" ht="14.25" thickBot="1">
      <c r="A92" s="147" t="s">
        <v>134</v>
      </c>
      <c r="B92" s="233">
        <f>B91*E88</f>
        <v>392.2</v>
      </c>
      <c r="C92" s="231">
        <f>B92*$C$78</f>
        <v>9.0206</v>
      </c>
      <c r="D92" s="149"/>
      <c r="E92" s="149"/>
      <c r="F92" s="149"/>
      <c r="G92" s="150"/>
      <c r="J92" s="13"/>
    </row>
    <row r="93" spans="1:14" ht="14.25" thickBot="1">
      <c r="A93" s="140"/>
      <c r="B93" s="141"/>
      <c r="C93" s="141"/>
      <c r="J93" s="13"/>
      <c r="K93" s="13"/>
      <c r="L93" s="13"/>
      <c r="M93" s="13"/>
      <c r="N93" s="13"/>
    </row>
    <row r="94" spans="1:14">
      <c r="A94" s="151" t="s">
        <v>139</v>
      </c>
      <c r="B94" s="152">
        <v>0</v>
      </c>
      <c r="C94" s="153"/>
      <c r="D94" s="145" t="s">
        <v>140</v>
      </c>
      <c r="E94" s="145"/>
      <c r="F94" s="145"/>
      <c r="G94" s="146"/>
      <c r="J94" s="13"/>
      <c r="K94" s="13"/>
      <c r="L94" s="13"/>
      <c r="M94" s="13"/>
      <c r="N94" s="13"/>
    </row>
    <row r="95" spans="1:14">
      <c r="A95" s="154" t="s">
        <v>141</v>
      </c>
      <c r="B95" s="155">
        <v>0</v>
      </c>
      <c r="C95" s="141"/>
      <c r="D95" s="8" t="s">
        <v>142</v>
      </c>
      <c r="G95" s="156"/>
      <c r="J95" s="13"/>
      <c r="K95" s="13"/>
      <c r="L95" s="13"/>
      <c r="M95" s="13"/>
      <c r="N95" s="13"/>
    </row>
    <row r="96" spans="1:14">
      <c r="A96" s="154" t="s">
        <v>143</v>
      </c>
      <c r="B96" s="155">
        <v>0</v>
      </c>
      <c r="G96" s="156"/>
      <c r="J96" s="13"/>
      <c r="K96" s="251" t="s">
        <v>89</v>
      </c>
      <c r="L96" s="251"/>
      <c r="M96" s="251"/>
      <c r="N96" s="251"/>
    </row>
    <row r="97" spans="1:14" ht="14.25" thickBot="1">
      <c r="A97" s="147" t="s">
        <v>144</v>
      </c>
      <c r="B97" s="157">
        <v>0</v>
      </c>
      <c r="C97" s="148"/>
      <c r="D97" s="149"/>
      <c r="E97" s="149"/>
      <c r="F97" s="149"/>
      <c r="G97" s="150"/>
      <c r="J97" s="13"/>
      <c r="K97" s="170" t="s">
        <v>90</v>
      </c>
      <c r="L97" s="170" t="s">
        <v>91</v>
      </c>
      <c r="M97" s="170" t="s">
        <v>90</v>
      </c>
      <c r="N97" s="170" t="s">
        <v>91</v>
      </c>
    </row>
    <row r="98" spans="1:14">
      <c r="A98" s="7" t="s">
        <v>145</v>
      </c>
      <c r="B98" s="7" t="s">
        <v>146</v>
      </c>
      <c r="C98" s="7" t="s">
        <v>147</v>
      </c>
      <c r="D98" s="7" t="s">
        <v>148</v>
      </c>
      <c r="E98" s="7" t="s">
        <v>149</v>
      </c>
      <c r="F98" s="7" t="s">
        <v>138</v>
      </c>
      <c r="H98" s="7" t="s">
        <v>146</v>
      </c>
      <c r="I98" s="7" t="s">
        <v>150</v>
      </c>
      <c r="K98" s="7" t="s">
        <v>146</v>
      </c>
      <c r="L98" s="7" t="s">
        <v>146</v>
      </c>
      <c r="M98" s="7" t="s">
        <v>150</v>
      </c>
      <c r="N98" s="7" t="s">
        <v>150</v>
      </c>
    </row>
    <row r="99" spans="1:14">
      <c r="A99" s="9"/>
      <c r="B99" s="9" t="s">
        <v>151</v>
      </c>
      <c r="C99" s="9" t="s">
        <v>151</v>
      </c>
      <c r="D99" s="9" t="s">
        <v>23</v>
      </c>
      <c r="E99" s="9" t="s">
        <v>61</v>
      </c>
      <c r="F99" s="9" t="s">
        <v>19</v>
      </c>
      <c r="H99" s="9" t="s">
        <v>19</v>
      </c>
      <c r="I99" s="9" t="s">
        <v>19</v>
      </c>
      <c r="K99" s="9" t="s">
        <v>19</v>
      </c>
      <c r="L99" s="9" t="s">
        <v>19</v>
      </c>
      <c r="M99" s="9" t="s">
        <v>19</v>
      </c>
      <c r="N99" s="9" t="s">
        <v>19</v>
      </c>
    </row>
    <row r="100" spans="1:14">
      <c r="A100" s="9">
        <v>2022</v>
      </c>
      <c r="B100" s="22">
        <f>C83</f>
        <v>1.24177</v>
      </c>
      <c r="C100" s="22">
        <f>B100-$C$84</f>
        <v>1.24177</v>
      </c>
      <c r="D100" s="22">
        <f>C86</f>
        <v>7.7349000000000001E-2</v>
      </c>
      <c r="E100" s="22">
        <f>C89*12</f>
        <v>0</v>
      </c>
      <c r="F100" s="22">
        <f>C92*12</f>
        <v>108.24719999999999</v>
      </c>
      <c r="H100" s="23">
        <f>C100*$C$9/100*$C$52</f>
        <v>24835.399999999998</v>
      </c>
      <c r="I100" s="23">
        <f>D100*$C$19*$C$52+E100*$C$45+F100</f>
        <v>3975.6972000000001</v>
      </c>
      <c r="K100" s="23">
        <f t="shared" ref="K100:K128" si="0">C100*$C$9/100*$H$52</f>
        <v>39736.639999999999</v>
      </c>
      <c r="L100" s="23">
        <f t="shared" ref="L100:L128" si="1">C100*$C$9/100*$I$52</f>
        <v>12417.699999999999</v>
      </c>
      <c r="M100" s="23">
        <f>D100*$C$19*$H$52+E100*$C$45+F100</f>
        <v>6296.1671999999999</v>
      </c>
      <c r="N100" s="23">
        <f t="shared" ref="N100:N128" si="2">D100*$C$19*$I$52+E100*$C$45+F100</f>
        <v>2041.9722000000002</v>
      </c>
    </row>
    <row r="101" spans="1:14">
      <c r="A101" s="9">
        <v>2023</v>
      </c>
      <c r="B101" s="22">
        <f t="shared" ref="B101:B128" si="3">B100*(1+$B$94)</f>
        <v>1.24177</v>
      </c>
      <c r="C101" s="22">
        <f t="shared" ref="C101:C128" si="4">B101-$C$84</f>
        <v>1.24177</v>
      </c>
      <c r="D101" s="22">
        <f t="shared" ref="D101:D128" si="5">D100*(1+$B$95)</f>
        <v>7.7349000000000001E-2</v>
      </c>
      <c r="E101" s="22">
        <f t="shared" ref="E101:E128" si="6">E100*(1+$B$96)</f>
        <v>0</v>
      </c>
      <c r="F101" s="22">
        <f>F100*(1+$B$97)</f>
        <v>108.24719999999999</v>
      </c>
      <c r="H101" s="23">
        <f t="shared" ref="H101:H128" si="7">C101*$C$9/100*$C$52</f>
        <v>24835.399999999998</v>
      </c>
      <c r="I101" s="23">
        <f t="shared" ref="I101:I128" si="8">D101*$C$19*$C$52+E101*$C$45+F101</f>
        <v>3975.6972000000001</v>
      </c>
      <c r="K101" s="23">
        <f t="shared" si="0"/>
        <v>39736.639999999999</v>
      </c>
      <c r="L101" s="23">
        <f t="shared" si="1"/>
        <v>12417.699999999999</v>
      </c>
      <c r="M101" s="23">
        <f t="shared" ref="M101:M128" si="9">D101*$C$19*$H$52+E101*$C$45</f>
        <v>6187.92</v>
      </c>
      <c r="N101" s="23">
        <f t="shared" si="2"/>
        <v>2041.9722000000002</v>
      </c>
    </row>
    <row r="102" spans="1:14">
      <c r="A102" s="9">
        <v>2024</v>
      </c>
      <c r="B102" s="22">
        <f t="shared" si="3"/>
        <v>1.24177</v>
      </c>
      <c r="C102" s="22">
        <f t="shared" si="4"/>
        <v>1.24177</v>
      </c>
      <c r="D102" s="22">
        <f t="shared" si="5"/>
        <v>7.7349000000000001E-2</v>
      </c>
      <c r="E102" s="22">
        <f t="shared" si="6"/>
        <v>0</v>
      </c>
      <c r="F102" s="22">
        <f t="shared" ref="F102:F128" si="10">F101*(1+$B$97)</f>
        <v>108.24719999999999</v>
      </c>
      <c r="H102" s="23">
        <f t="shared" si="7"/>
        <v>24835.399999999998</v>
      </c>
      <c r="I102" s="23">
        <f t="shared" si="8"/>
        <v>3975.6972000000001</v>
      </c>
      <c r="K102" s="23">
        <f t="shared" si="0"/>
        <v>39736.639999999999</v>
      </c>
      <c r="L102" s="23">
        <f t="shared" si="1"/>
        <v>12417.699999999999</v>
      </c>
      <c r="M102" s="23">
        <f t="shared" si="9"/>
        <v>6187.92</v>
      </c>
      <c r="N102" s="23">
        <f t="shared" si="2"/>
        <v>2041.9722000000002</v>
      </c>
    </row>
    <row r="103" spans="1:14">
      <c r="A103" s="9">
        <v>2025</v>
      </c>
      <c r="B103" s="22">
        <f t="shared" si="3"/>
        <v>1.24177</v>
      </c>
      <c r="C103" s="22">
        <f t="shared" si="4"/>
        <v>1.24177</v>
      </c>
      <c r="D103" s="22">
        <f t="shared" si="5"/>
        <v>7.7349000000000001E-2</v>
      </c>
      <c r="E103" s="22">
        <f t="shared" si="6"/>
        <v>0</v>
      </c>
      <c r="F103" s="22">
        <f t="shared" si="10"/>
        <v>108.24719999999999</v>
      </c>
      <c r="H103" s="23">
        <f t="shared" si="7"/>
        <v>24835.399999999998</v>
      </c>
      <c r="I103" s="23">
        <f t="shared" si="8"/>
        <v>3975.6972000000001</v>
      </c>
      <c r="K103" s="23">
        <f t="shared" si="0"/>
        <v>39736.639999999999</v>
      </c>
      <c r="L103" s="23">
        <f t="shared" si="1"/>
        <v>12417.699999999999</v>
      </c>
      <c r="M103" s="23">
        <f t="shared" si="9"/>
        <v>6187.92</v>
      </c>
      <c r="N103" s="23">
        <f t="shared" si="2"/>
        <v>2041.9722000000002</v>
      </c>
    </row>
    <row r="104" spans="1:14">
      <c r="A104" s="9">
        <v>2026</v>
      </c>
      <c r="B104" s="22">
        <f t="shared" si="3"/>
        <v>1.24177</v>
      </c>
      <c r="C104" s="22">
        <f t="shared" si="4"/>
        <v>1.24177</v>
      </c>
      <c r="D104" s="22">
        <f t="shared" si="5"/>
        <v>7.7349000000000001E-2</v>
      </c>
      <c r="E104" s="22">
        <f t="shared" si="6"/>
        <v>0</v>
      </c>
      <c r="F104" s="22">
        <f t="shared" si="10"/>
        <v>108.24719999999999</v>
      </c>
      <c r="H104" s="23">
        <f t="shared" si="7"/>
        <v>24835.399999999998</v>
      </c>
      <c r="I104" s="23">
        <f t="shared" si="8"/>
        <v>3975.6972000000001</v>
      </c>
      <c r="K104" s="23">
        <f t="shared" si="0"/>
        <v>39736.639999999999</v>
      </c>
      <c r="L104" s="23">
        <f t="shared" si="1"/>
        <v>12417.699999999999</v>
      </c>
      <c r="M104" s="23">
        <f t="shared" si="9"/>
        <v>6187.92</v>
      </c>
      <c r="N104" s="23">
        <f t="shared" si="2"/>
        <v>2041.9722000000002</v>
      </c>
    </row>
    <row r="105" spans="1:14">
      <c r="A105" s="9">
        <v>2027</v>
      </c>
      <c r="B105" s="22">
        <f t="shared" si="3"/>
        <v>1.24177</v>
      </c>
      <c r="C105" s="22">
        <f t="shared" si="4"/>
        <v>1.24177</v>
      </c>
      <c r="D105" s="22">
        <f t="shared" si="5"/>
        <v>7.7349000000000001E-2</v>
      </c>
      <c r="E105" s="22">
        <f t="shared" si="6"/>
        <v>0</v>
      </c>
      <c r="F105" s="22">
        <f t="shared" si="10"/>
        <v>108.24719999999999</v>
      </c>
      <c r="H105" s="23">
        <f t="shared" si="7"/>
        <v>24835.399999999998</v>
      </c>
      <c r="I105" s="23">
        <f t="shared" si="8"/>
        <v>3975.6972000000001</v>
      </c>
      <c r="K105" s="23">
        <f t="shared" si="0"/>
        <v>39736.639999999999</v>
      </c>
      <c r="L105" s="23">
        <f t="shared" si="1"/>
        <v>12417.699999999999</v>
      </c>
      <c r="M105" s="23">
        <f t="shared" si="9"/>
        <v>6187.92</v>
      </c>
      <c r="N105" s="23">
        <f t="shared" si="2"/>
        <v>2041.9722000000002</v>
      </c>
    </row>
    <row r="106" spans="1:14">
      <c r="A106" s="9">
        <v>2028</v>
      </c>
      <c r="B106" s="22">
        <f t="shared" si="3"/>
        <v>1.24177</v>
      </c>
      <c r="C106" s="22">
        <f t="shared" si="4"/>
        <v>1.24177</v>
      </c>
      <c r="D106" s="22">
        <f t="shared" si="5"/>
        <v>7.7349000000000001E-2</v>
      </c>
      <c r="E106" s="22">
        <f t="shared" si="6"/>
        <v>0</v>
      </c>
      <c r="F106" s="22">
        <f t="shared" si="10"/>
        <v>108.24719999999999</v>
      </c>
      <c r="H106" s="23">
        <f t="shared" si="7"/>
        <v>24835.399999999998</v>
      </c>
      <c r="I106" s="23">
        <f t="shared" si="8"/>
        <v>3975.6972000000001</v>
      </c>
      <c r="K106" s="23">
        <f t="shared" si="0"/>
        <v>39736.639999999999</v>
      </c>
      <c r="L106" s="23">
        <f t="shared" si="1"/>
        <v>12417.699999999999</v>
      </c>
      <c r="M106" s="23">
        <f t="shared" si="9"/>
        <v>6187.92</v>
      </c>
      <c r="N106" s="23">
        <f t="shared" si="2"/>
        <v>2041.9722000000002</v>
      </c>
    </row>
    <row r="107" spans="1:14">
      <c r="A107" s="9">
        <v>2029</v>
      </c>
      <c r="B107" s="22">
        <f t="shared" si="3"/>
        <v>1.24177</v>
      </c>
      <c r="C107" s="22">
        <f t="shared" si="4"/>
        <v>1.24177</v>
      </c>
      <c r="D107" s="22">
        <f t="shared" si="5"/>
        <v>7.7349000000000001E-2</v>
      </c>
      <c r="E107" s="22">
        <f t="shared" si="6"/>
        <v>0</v>
      </c>
      <c r="F107" s="22">
        <f t="shared" si="10"/>
        <v>108.24719999999999</v>
      </c>
      <c r="H107" s="23">
        <f t="shared" si="7"/>
        <v>24835.399999999998</v>
      </c>
      <c r="I107" s="23">
        <f t="shared" si="8"/>
        <v>3975.6972000000001</v>
      </c>
      <c r="K107" s="23">
        <f t="shared" si="0"/>
        <v>39736.639999999999</v>
      </c>
      <c r="L107" s="23">
        <f t="shared" si="1"/>
        <v>12417.699999999999</v>
      </c>
      <c r="M107" s="23">
        <f t="shared" si="9"/>
        <v>6187.92</v>
      </c>
      <c r="N107" s="23">
        <f t="shared" si="2"/>
        <v>2041.9722000000002</v>
      </c>
    </row>
    <row r="108" spans="1:14">
      <c r="A108" s="9">
        <v>2030</v>
      </c>
      <c r="B108" s="22">
        <f t="shared" si="3"/>
        <v>1.24177</v>
      </c>
      <c r="C108" s="22">
        <f t="shared" si="4"/>
        <v>1.24177</v>
      </c>
      <c r="D108" s="22">
        <f t="shared" si="5"/>
        <v>7.7349000000000001E-2</v>
      </c>
      <c r="E108" s="22">
        <f t="shared" si="6"/>
        <v>0</v>
      </c>
      <c r="F108" s="22">
        <f t="shared" si="10"/>
        <v>108.24719999999999</v>
      </c>
      <c r="H108" s="23">
        <f t="shared" si="7"/>
        <v>24835.399999999998</v>
      </c>
      <c r="I108" s="23">
        <f t="shared" si="8"/>
        <v>3975.6972000000001</v>
      </c>
      <c r="K108" s="23">
        <f t="shared" si="0"/>
        <v>39736.639999999999</v>
      </c>
      <c r="L108" s="23">
        <f t="shared" si="1"/>
        <v>12417.699999999999</v>
      </c>
      <c r="M108" s="23">
        <f t="shared" si="9"/>
        <v>6187.92</v>
      </c>
      <c r="N108" s="23">
        <f t="shared" si="2"/>
        <v>2041.9722000000002</v>
      </c>
    </row>
    <row r="109" spans="1:14">
      <c r="A109" s="9">
        <v>2031</v>
      </c>
      <c r="B109" s="22">
        <f t="shared" si="3"/>
        <v>1.24177</v>
      </c>
      <c r="C109" s="22">
        <f t="shared" si="4"/>
        <v>1.24177</v>
      </c>
      <c r="D109" s="22">
        <f t="shared" si="5"/>
        <v>7.7349000000000001E-2</v>
      </c>
      <c r="E109" s="22">
        <f t="shared" si="6"/>
        <v>0</v>
      </c>
      <c r="F109" s="22">
        <f t="shared" si="10"/>
        <v>108.24719999999999</v>
      </c>
      <c r="H109" s="23">
        <f t="shared" si="7"/>
        <v>24835.399999999998</v>
      </c>
      <c r="I109" s="23">
        <f t="shared" si="8"/>
        <v>3975.6972000000001</v>
      </c>
      <c r="K109" s="23">
        <f t="shared" si="0"/>
        <v>39736.639999999999</v>
      </c>
      <c r="L109" s="23">
        <f t="shared" si="1"/>
        <v>12417.699999999999</v>
      </c>
      <c r="M109" s="23">
        <f t="shared" si="9"/>
        <v>6187.92</v>
      </c>
      <c r="N109" s="23">
        <f t="shared" si="2"/>
        <v>2041.9722000000002</v>
      </c>
    </row>
    <row r="110" spans="1:14">
      <c r="A110" s="9">
        <v>2032</v>
      </c>
      <c r="B110" s="22">
        <f t="shared" si="3"/>
        <v>1.24177</v>
      </c>
      <c r="C110" s="22">
        <f t="shared" si="4"/>
        <v>1.24177</v>
      </c>
      <c r="D110" s="22">
        <f t="shared" si="5"/>
        <v>7.7349000000000001E-2</v>
      </c>
      <c r="E110" s="22">
        <f t="shared" si="6"/>
        <v>0</v>
      </c>
      <c r="F110" s="22">
        <f t="shared" si="10"/>
        <v>108.24719999999999</v>
      </c>
      <c r="H110" s="23">
        <f t="shared" si="7"/>
        <v>24835.399999999998</v>
      </c>
      <c r="I110" s="23">
        <f t="shared" si="8"/>
        <v>3975.6972000000001</v>
      </c>
      <c r="K110" s="23">
        <f t="shared" si="0"/>
        <v>39736.639999999999</v>
      </c>
      <c r="L110" s="23">
        <f t="shared" si="1"/>
        <v>12417.699999999999</v>
      </c>
      <c r="M110" s="23">
        <f t="shared" si="9"/>
        <v>6187.92</v>
      </c>
      <c r="N110" s="23">
        <f t="shared" si="2"/>
        <v>2041.9722000000002</v>
      </c>
    </row>
    <row r="111" spans="1:14">
      <c r="A111" s="9">
        <v>2033</v>
      </c>
      <c r="B111" s="22">
        <f t="shared" si="3"/>
        <v>1.24177</v>
      </c>
      <c r="C111" s="22">
        <f t="shared" si="4"/>
        <v>1.24177</v>
      </c>
      <c r="D111" s="22">
        <f t="shared" si="5"/>
        <v>7.7349000000000001E-2</v>
      </c>
      <c r="E111" s="22">
        <f t="shared" si="6"/>
        <v>0</v>
      </c>
      <c r="F111" s="22">
        <f t="shared" si="10"/>
        <v>108.24719999999999</v>
      </c>
      <c r="H111" s="23">
        <f t="shared" si="7"/>
        <v>24835.399999999998</v>
      </c>
      <c r="I111" s="23">
        <f t="shared" si="8"/>
        <v>3975.6972000000001</v>
      </c>
      <c r="K111" s="23">
        <f t="shared" si="0"/>
        <v>39736.639999999999</v>
      </c>
      <c r="L111" s="23">
        <f t="shared" si="1"/>
        <v>12417.699999999999</v>
      </c>
      <c r="M111" s="23">
        <f t="shared" si="9"/>
        <v>6187.92</v>
      </c>
      <c r="N111" s="23">
        <f t="shared" si="2"/>
        <v>2041.9722000000002</v>
      </c>
    </row>
    <row r="112" spans="1:14">
      <c r="A112" s="9">
        <v>2034</v>
      </c>
      <c r="B112" s="22">
        <f t="shared" si="3"/>
        <v>1.24177</v>
      </c>
      <c r="C112" s="22">
        <f t="shared" si="4"/>
        <v>1.24177</v>
      </c>
      <c r="D112" s="22">
        <f t="shared" si="5"/>
        <v>7.7349000000000001E-2</v>
      </c>
      <c r="E112" s="22">
        <f t="shared" si="6"/>
        <v>0</v>
      </c>
      <c r="F112" s="22">
        <f t="shared" si="10"/>
        <v>108.24719999999999</v>
      </c>
      <c r="H112" s="23">
        <f t="shared" si="7"/>
        <v>24835.399999999998</v>
      </c>
      <c r="I112" s="23">
        <f t="shared" si="8"/>
        <v>3975.6972000000001</v>
      </c>
      <c r="K112" s="23">
        <f t="shared" si="0"/>
        <v>39736.639999999999</v>
      </c>
      <c r="L112" s="23">
        <f t="shared" si="1"/>
        <v>12417.699999999999</v>
      </c>
      <c r="M112" s="23">
        <f t="shared" si="9"/>
        <v>6187.92</v>
      </c>
      <c r="N112" s="23">
        <f t="shared" si="2"/>
        <v>2041.9722000000002</v>
      </c>
    </row>
    <row r="113" spans="1:14">
      <c r="A113" s="9">
        <v>2035</v>
      </c>
      <c r="B113" s="22">
        <f t="shared" si="3"/>
        <v>1.24177</v>
      </c>
      <c r="C113" s="22">
        <f t="shared" si="4"/>
        <v>1.24177</v>
      </c>
      <c r="D113" s="22">
        <f t="shared" si="5"/>
        <v>7.7349000000000001E-2</v>
      </c>
      <c r="E113" s="22">
        <f t="shared" si="6"/>
        <v>0</v>
      </c>
      <c r="F113" s="22">
        <f t="shared" si="10"/>
        <v>108.24719999999999</v>
      </c>
      <c r="H113" s="23">
        <f t="shared" si="7"/>
        <v>24835.399999999998</v>
      </c>
      <c r="I113" s="23">
        <f t="shared" si="8"/>
        <v>3975.6972000000001</v>
      </c>
      <c r="K113" s="23">
        <f t="shared" si="0"/>
        <v>39736.639999999999</v>
      </c>
      <c r="L113" s="23">
        <f t="shared" si="1"/>
        <v>12417.699999999999</v>
      </c>
      <c r="M113" s="23">
        <f t="shared" si="9"/>
        <v>6187.92</v>
      </c>
      <c r="N113" s="23">
        <f t="shared" si="2"/>
        <v>2041.9722000000002</v>
      </c>
    </row>
    <row r="114" spans="1:14">
      <c r="A114" s="9">
        <v>2036</v>
      </c>
      <c r="B114" s="22">
        <f t="shared" si="3"/>
        <v>1.24177</v>
      </c>
      <c r="C114" s="22">
        <f t="shared" si="4"/>
        <v>1.24177</v>
      </c>
      <c r="D114" s="22">
        <f t="shared" si="5"/>
        <v>7.7349000000000001E-2</v>
      </c>
      <c r="E114" s="22">
        <f t="shared" si="6"/>
        <v>0</v>
      </c>
      <c r="F114" s="22">
        <f t="shared" si="10"/>
        <v>108.24719999999999</v>
      </c>
      <c r="H114" s="23">
        <f t="shared" si="7"/>
        <v>24835.399999999998</v>
      </c>
      <c r="I114" s="23">
        <f t="shared" si="8"/>
        <v>3975.6972000000001</v>
      </c>
      <c r="K114" s="23">
        <f t="shared" si="0"/>
        <v>39736.639999999999</v>
      </c>
      <c r="L114" s="23">
        <f t="shared" si="1"/>
        <v>12417.699999999999</v>
      </c>
      <c r="M114" s="23">
        <f t="shared" si="9"/>
        <v>6187.92</v>
      </c>
      <c r="N114" s="23">
        <f t="shared" si="2"/>
        <v>2041.9722000000002</v>
      </c>
    </row>
    <row r="115" spans="1:14">
      <c r="A115" s="9">
        <v>2037</v>
      </c>
      <c r="B115" s="22">
        <f t="shared" si="3"/>
        <v>1.24177</v>
      </c>
      <c r="C115" s="22">
        <f t="shared" si="4"/>
        <v>1.24177</v>
      </c>
      <c r="D115" s="22">
        <f t="shared" si="5"/>
        <v>7.7349000000000001E-2</v>
      </c>
      <c r="E115" s="22">
        <f t="shared" si="6"/>
        <v>0</v>
      </c>
      <c r="F115" s="22">
        <f t="shared" si="10"/>
        <v>108.24719999999999</v>
      </c>
      <c r="H115" s="23">
        <f t="shared" si="7"/>
        <v>24835.399999999998</v>
      </c>
      <c r="I115" s="23">
        <f t="shared" si="8"/>
        <v>3975.6972000000001</v>
      </c>
      <c r="K115" s="23">
        <f t="shared" si="0"/>
        <v>39736.639999999999</v>
      </c>
      <c r="L115" s="23">
        <f t="shared" si="1"/>
        <v>12417.699999999999</v>
      </c>
      <c r="M115" s="23">
        <f t="shared" si="9"/>
        <v>6187.92</v>
      </c>
      <c r="N115" s="23">
        <f t="shared" si="2"/>
        <v>2041.9722000000002</v>
      </c>
    </row>
    <row r="116" spans="1:14">
      <c r="A116" s="9">
        <v>2038</v>
      </c>
      <c r="B116" s="22">
        <f t="shared" si="3"/>
        <v>1.24177</v>
      </c>
      <c r="C116" s="22">
        <f t="shared" si="4"/>
        <v>1.24177</v>
      </c>
      <c r="D116" s="22">
        <f t="shared" si="5"/>
        <v>7.7349000000000001E-2</v>
      </c>
      <c r="E116" s="22">
        <f t="shared" si="6"/>
        <v>0</v>
      </c>
      <c r="F116" s="22">
        <f t="shared" si="10"/>
        <v>108.24719999999999</v>
      </c>
      <c r="H116" s="23">
        <f t="shared" si="7"/>
        <v>24835.399999999998</v>
      </c>
      <c r="I116" s="23">
        <f t="shared" si="8"/>
        <v>3975.6972000000001</v>
      </c>
      <c r="K116" s="23">
        <f t="shared" si="0"/>
        <v>39736.639999999999</v>
      </c>
      <c r="L116" s="23">
        <f t="shared" si="1"/>
        <v>12417.699999999999</v>
      </c>
      <c r="M116" s="23">
        <f t="shared" si="9"/>
        <v>6187.92</v>
      </c>
      <c r="N116" s="23">
        <f t="shared" si="2"/>
        <v>2041.9722000000002</v>
      </c>
    </row>
    <row r="117" spans="1:14">
      <c r="A117" s="9">
        <v>2039</v>
      </c>
      <c r="B117" s="22">
        <f t="shared" si="3"/>
        <v>1.24177</v>
      </c>
      <c r="C117" s="22">
        <f t="shared" si="4"/>
        <v>1.24177</v>
      </c>
      <c r="D117" s="22">
        <f t="shared" si="5"/>
        <v>7.7349000000000001E-2</v>
      </c>
      <c r="E117" s="22">
        <f t="shared" si="6"/>
        <v>0</v>
      </c>
      <c r="F117" s="22">
        <f t="shared" si="10"/>
        <v>108.24719999999999</v>
      </c>
      <c r="H117" s="23">
        <f t="shared" si="7"/>
        <v>24835.399999999998</v>
      </c>
      <c r="I117" s="23">
        <f t="shared" si="8"/>
        <v>3975.6972000000001</v>
      </c>
      <c r="K117" s="23">
        <f t="shared" si="0"/>
        <v>39736.639999999999</v>
      </c>
      <c r="L117" s="23">
        <f t="shared" si="1"/>
        <v>12417.699999999999</v>
      </c>
      <c r="M117" s="23">
        <f t="shared" si="9"/>
        <v>6187.92</v>
      </c>
      <c r="N117" s="23">
        <f t="shared" si="2"/>
        <v>2041.9722000000002</v>
      </c>
    </row>
    <row r="118" spans="1:14">
      <c r="A118" s="9">
        <v>2040</v>
      </c>
      <c r="B118" s="22">
        <f t="shared" si="3"/>
        <v>1.24177</v>
      </c>
      <c r="C118" s="22">
        <f t="shared" si="4"/>
        <v>1.24177</v>
      </c>
      <c r="D118" s="22">
        <f t="shared" si="5"/>
        <v>7.7349000000000001E-2</v>
      </c>
      <c r="E118" s="22">
        <f t="shared" si="6"/>
        <v>0</v>
      </c>
      <c r="F118" s="22">
        <f t="shared" si="10"/>
        <v>108.24719999999999</v>
      </c>
      <c r="H118" s="23">
        <f t="shared" si="7"/>
        <v>24835.399999999998</v>
      </c>
      <c r="I118" s="23">
        <f t="shared" si="8"/>
        <v>3975.6972000000001</v>
      </c>
      <c r="K118" s="23">
        <f t="shared" si="0"/>
        <v>39736.639999999999</v>
      </c>
      <c r="L118" s="23">
        <f t="shared" si="1"/>
        <v>12417.699999999999</v>
      </c>
      <c r="M118" s="23">
        <f t="shared" si="9"/>
        <v>6187.92</v>
      </c>
      <c r="N118" s="23">
        <f t="shared" si="2"/>
        <v>2041.9722000000002</v>
      </c>
    </row>
    <row r="119" spans="1:14">
      <c r="A119" s="9">
        <v>2041</v>
      </c>
      <c r="B119" s="22">
        <f t="shared" si="3"/>
        <v>1.24177</v>
      </c>
      <c r="C119" s="22">
        <f t="shared" si="4"/>
        <v>1.24177</v>
      </c>
      <c r="D119" s="22">
        <f t="shared" si="5"/>
        <v>7.7349000000000001E-2</v>
      </c>
      <c r="E119" s="22">
        <f t="shared" si="6"/>
        <v>0</v>
      </c>
      <c r="F119" s="22">
        <f t="shared" si="10"/>
        <v>108.24719999999999</v>
      </c>
      <c r="H119" s="23">
        <f t="shared" si="7"/>
        <v>24835.399999999998</v>
      </c>
      <c r="I119" s="23">
        <f t="shared" si="8"/>
        <v>3975.6972000000001</v>
      </c>
      <c r="K119" s="23">
        <f t="shared" si="0"/>
        <v>39736.639999999999</v>
      </c>
      <c r="L119" s="23">
        <f t="shared" si="1"/>
        <v>12417.699999999999</v>
      </c>
      <c r="M119" s="23">
        <f t="shared" si="9"/>
        <v>6187.92</v>
      </c>
      <c r="N119" s="23">
        <f t="shared" si="2"/>
        <v>2041.9722000000002</v>
      </c>
    </row>
    <row r="120" spans="1:14">
      <c r="A120" s="9">
        <v>2042</v>
      </c>
      <c r="B120" s="22">
        <f t="shared" si="3"/>
        <v>1.24177</v>
      </c>
      <c r="C120" s="22">
        <f t="shared" si="4"/>
        <v>1.24177</v>
      </c>
      <c r="D120" s="22">
        <f t="shared" si="5"/>
        <v>7.7349000000000001E-2</v>
      </c>
      <c r="E120" s="22">
        <f t="shared" si="6"/>
        <v>0</v>
      </c>
      <c r="F120" s="22">
        <f t="shared" si="10"/>
        <v>108.24719999999999</v>
      </c>
      <c r="H120" s="23">
        <f t="shared" si="7"/>
        <v>24835.399999999998</v>
      </c>
      <c r="I120" s="23">
        <f t="shared" si="8"/>
        <v>3975.6972000000001</v>
      </c>
      <c r="K120" s="23">
        <f t="shared" si="0"/>
        <v>39736.639999999999</v>
      </c>
      <c r="L120" s="23">
        <f t="shared" si="1"/>
        <v>12417.699999999999</v>
      </c>
      <c r="M120" s="23">
        <f t="shared" si="9"/>
        <v>6187.92</v>
      </c>
      <c r="N120" s="23">
        <f t="shared" si="2"/>
        <v>2041.9722000000002</v>
      </c>
    </row>
    <row r="121" spans="1:14">
      <c r="A121" s="9">
        <v>2043</v>
      </c>
      <c r="B121" s="22">
        <f t="shared" si="3"/>
        <v>1.24177</v>
      </c>
      <c r="C121" s="22">
        <f t="shared" si="4"/>
        <v>1.24177</v>
      </c>
      <c r="D121" s="22">
        <f t="shared" si="5"/>
        <v>7.7349000000000001E-2</v>
      </c>
      <c r="E121" s="22">
        <f t="shared" si="6"/>
        <v>0</v>
      </c>
      <c r="F121" s="22">
        <f t="shared" si="10"/>
        <v>108.24719999999999</v>
      </c>
      <c r="H121" s="23">
        <f t="shared" si="7"/>
        <v>24835.399999999998</v>
      </c>
      <c r="I121" s="23">
        <f t="shared" si="8"/>
        <v>3975.6972000000001</v>
      </c>
      <c r="K121" s="23">
        <f t="shared" si="0"/>
        <v>39736.639999999999</v>
      </c>
      <c r="L121" s="23">
        <f t="shared" si="1"/>
        <v>12417.699999999999</v>
      </c>
      <c r="M121" s="23">
        <f t="shared" si="9"/>
        <v>6187.92</v>
      </c>
      <c r="N121" s="23">
        <f t="shared" si="2"/>
        <v>2041.9722000000002</v>
      </c>
    </row>
    <row r="122" spans="1:14">
      <c r="A122" s="9">
        <v>2044</v>
      </c>
      <c r="B122" s="22">
        <f t="shared" si="3"/>
        <v>1.24177</v>
      </c>
      <c r="C122" s="22">
        <f t="shared" si="4"/>
        <v>1.24177</v>
      </c>
      <c r="D122" s="22">
        <f t="shared" si="5"/>
        <v>7.7349000000000001E-2</v>
      </c>
      <c r="E122" s="22">
        <f t="shared" si="6"/>
        <v>0</v>
      </c>
      <c r="F122" s="22">
        <f t="shared" si="10"/>
        <v>108.24719999999999</v>
      </c>
      <c r="H122" s="23">
        <f t="shared" si="7"/>
        <v>24835.399999999998</v>
      </c>
      <c r="I122" s="23">
        <f t="shared" si="8"/>
        <v>3975.6972000000001</v>
      </c>
      <c r="K122" s="23">
        <f t="shared" si="0"/>
        <v>39736.639999999999</v>
      </c>
      <c r="L122" s="23">
        <f t="shared" si="1"/>
        <v>12417.699999999999</v>
      </c>
      <c r="M122" s="23">
        <f t="shared" si="9"/>
        <v>6187.92</v>
      </c>
      <c r="N122" s="23">
        <f t="shared" si="2"/>
        <v>2041.9722000000002</v>
      </c>
    </row>
    <row r="123" spans="1:14">
      <c r="A123" s="9">
        <v>2045</v>
      </c>
      <c r="B123" s="22">
        <f t="shared" si="3"/>
        <v>1.24177</v>
      </c>
      <c r="C123" s="22">
        <f t="shared" si="4"/>
        <v>1.24177</v>
      </c>
      <c r="D123" s="22">
        <f t="shared" si="5"/>
        <v>7.7349000000000001E-2</v>
      </c>
      <c r="E123" s="22">
        <f t="shared" si="6"/>
        <v>0</v>
      </c>
      <c r="F123" s="22">
        <f t="shared" si="10"/>
        <v>108.24719999999999</v>
      </c>
      <c r="H123" s="23">
        <f t="shared" si="7"/>
        <v>24835.399999999998</v>
      </c>
      <c r="I123" s="23">
        <f t="shared" si="8"/>
        <v>3975.6972000000001</v>
      </c>
      <c r="K123" s="23">
        <f t="shared" si="0"/>
        <v>39736.639999999999</v>
      </c>
      <c r="L123" s="23">
        <f t="shared" si="1"/>
        <v>12417.699999999999</v>
      </c>
      <c r="M123" s="23">
        <f t="shared" si="9"/>
        <v>6187.92</v>
      </c>
      <c r="N123" s="23">
        <f t="shared" si="2"/>
        <v>2041.9722000000002</v>
      </c>
    </row>
    <row r="124" spans="1:14">
      <c r="A124" s="9">
        <v>2046</v>
      </c>
      <c r="B124" s="22">
        <f t="shared" si="3"/>
        <v>1.24177</v>
      </c>
      <c r="C124" s="22">
        <f t="shared" si="4"/>
        <v>1.24177</v>
      </c>
      <c r="D124" s="22">
        <f t="shared" si="5"/>
        <v>7.7349000000000001E-2</v>
      </c>
      <c r="E124" s="22">
        <f t="shared" si="6"/>
        <v>0</v>
      </c>
      <c r="F124" s="22">
        <f t="shared" si="10"/>
        <v>108.24719999999999</v>
      </c>
      <c r="H124" s="23">
        <f t="shared" si="7"/>
        <v>24835.399999999998</v>
      </c>
      <c r="I124" s="23">
        <f t="shared" si="8"/>
        <v>3975.6972000000001</v>
      </c>
      <c r="K124" s="23">
        <f t="shared" si="0"/>
        <v>39736.639999999999</v>
      </c>
      <c r="L124" s="23">
        <f t="shared" si="1"/>
        <v>12417.699999999999</v>
      </c>
      <c r="M124" s="23">
        <f t="shared" si="9"/>
        <v>6187.92</v>
      </c>
      <c r="N124" s="23">
        <f t="shared" si="2"/>
        <v>2041.9722000000002</v>
      </c>
    </row>
    <row r="125" spans="1:14">
      <c r="A125" s="9">
        <v>2047</v>
      </c>
      <c r="B125" s="22">
        <f t="shared" si="3"/>
        <v>1.24177</v>
      </c>
      <c r="C125" s="22">
        <f t="shared" si="4"/>
        <v>1.24177</v>
      </c>
      <c r="D125" s="22">
        <f t="shared" si="5"/>
        <v>7.7349000000000001E-2</v>
      </c>
      <c r="E125" s="22">
        <f t="shared" si="6"/>
        <v>0</v>
      </c>
      <c r="F125" s="22">
        <f t="shared" si="10"/>
        <v>108.24719999999999</v>
      </c>
      <c r="H125" s="23">
        <f t="shared" si="7"/>
        <v>24835.399999999998</v>
      </c>
      <c r="I125" s="23">
        <f t="shared" si="8"/>
        <v>3975.6972000000001</v>
      </c>
      <c r="K125" s="23">
        <f t="shared" si="0"/>
        <v>39736.639999999999</v>
      </c>
      <c r="L125" s="23">
        <f t="shared" si="1"/>
        <v>12417.699999999999</v>
      </c>
      <c r="M125" s="23">
        <f t="shared" si="9"/>
        <v>6187.92</v>
      </c>
      <c r="N125" s="23">
        <f t="shared" si="2"/>
        <v>2041.9722000000002</v>
      </c>
    </row>
    <row r="126" spans="1:14">
      <c r="A126" s="9">
        <v>2048</v>
      </c>
      <c r="B126" s="22">
        <f t="shared" si="3"/>
        <v>1.24177</v>
      </c>
      <c r="C126" s="22">
        <f t="shared" si="4"/>
        <v>1.24177</v>
      </c>
      <c r="D126" s="22">
        <f t="shared" si="5"/>
        <v>7.7349000000000001E-2</v>
      </c>
      <c r="E126" s="22">
        <f t="shared" si="6"/>
        <v>0</v>
      </c>
      <c r="F126" s="22">
        <f t="shared" si="10"/>
        <v>108.24719999999999</v>
      </c>
      <c r="H126" s="23">
        <f t="shared" si="7"/>
        <v>24835.399999999998</v>
      </c>
      <c r="I126" s="23">
        <f t="shared" si="8"/>
        <v>3975.6972000000001</v>
      </c>
      <c r="K126" s="23">
        <f t="shared" si="0"/>
        <v>39736.639999999999</v>
      </c>
      <c r="L126" s="23">
        <f t="shared" si="1"/>
        <v>12417.699999999999</v>
      </c>
      <c r="M126" s="23">
        <f t="shared" si="9"/>
        <v>6187.92</v>
      </c>
      <c r="N126" s="23">
        <f t="shared" si="2"/>
        <v>2041.9722000000002</v>
      </c>
    </row>
    <row r="127" spans="1:14">
      <c r="A127" s="9">
        <v>2049</v>
      </c>
      <c r="B127" s="22">
        <f t="shared" si="3"/>
        <v>1.24177</v>
      </c>
      <c r="C127" s="22">
        <f t="shared" si="4"/>
        <v>1.24177</v>
      </c>
      <c r="D127" s="22">
        <f t="shared" si="5"/>
        <v>7.7349000000000001E-2</v>
      </c>
      <c r="E127" s="22">
        <f t="shared" si="6"/>
        <v>0</v>
      </c>
      <c r="F127" s="22">
        <f t="shared" si="10"/>
        <v>108.24719999999999</v>
      </c>
      <c r="H127" s="23">
        <f t="shared" si="7"/>
        <v>24835.399999999998</v>
      </c>
      <c r="I127" s="23">
        <f t="shared" si="8"/>
        <v>3975.6972000000001</v>
      </c>
      <c r="K127" s="23">
        <f t="shared" si="0"/>
        <v>39736.639999999999</v>
      </c>
      <c r="L127" s="23">
        <f t="shared" si="1"/>
        <v>12417.699999999999</v>
      </c>
      <c r="M127" s="23">
        <f t="shared" si="9"/>
        <v>6187.92</v>
      </c>
      <c r="N127" s="23">
        <f t="shared" si="2"/>
        <v>2041.9722000000002</v>
      </c>
    </row>
    <row r="128" spans="1:14">
      <c r="A128" s="9">
        <v>2050</v>
      </c>
      <c r="B128" s="22">
        <f t="shared" si="3"/>
        <v>1.24177</v>
      </c>
      <c r="C128" s="22">
        <f t="shared" si="4"/>
        <v>1.24177</v>
      </c>
      <c r="D128" s="22">
        <f t="shared" si="5"/>
        <v>7.7349000000000001E-2</v>
      </c>
      <c r="E128" s="22">
        <f t="shared" si="6"/>
        <v>0</v>
      </c>
      <c r="F128" s="22">
        <f t="shared" si="10"/>
        <v>108.24719999999999</v>
      </c>
      <c r="H128" s="23">
        <f t="shared" si="7"/>
        <v>24835.399999999998</v>
      </c>
      <c r="I128" s="23">
        <f t="shared" si="8"/>
        <v>3975.6972000000001</v>
      </c>
      <c r="K128" s="23">
        <f t="shared" si="0"/>
        <v>39736.639999999999</v>
      </c>
      <c r="L128" s="23">
        <f t="shared" si="1"/>
        <v>12417.699999999999</v>
      </c>
      <c r="M128" s="23">
        <f t="shared" si="9"/>
        <v>6187.92</v>
      </c>
      <c r="N128" s="23">
        <f t="shared" si="2"/>
        <v>2041.9722000000002</v>
      </c>
    </row>
    <row r="130" spans="1:7" ht="15">
      <c r="A130" s="8" t="s">
        <v>15</v>
      </c>
      <c r="B130" s="2" t="s">
        <v>152</v>
      </c>
      <c r="C130" s="21" t="s">
        <v>153</v>
      </c>
    </row>
    <row r="131" spans="1:7" ht="15">
      <c r="B131" s="8" t="s">
        <v>150</v>
      </c>
      <c r="C131" s="57" t="s">
        <v>154</v>
      </c>
    </row>
    <row r="133" spans="1:7">
      <c r="A133" s="249" t="s">
        <v>155</v>
      </c>
      <c r="B133" s="249"/>
      <c r="C133" s="249"/>
      <c r="D133" s="249"/>
      <c r="E133" s="249"/>
      <c r="F133" s="249"/>
      <c r="G133" s="158"/>
    </row>
    <row r="134" spans="1:7">
      <c r="A134" s="6" t="s">
        <v>9</v>
      </c>
    </row>
    <row r="135" spans="1:7">
      <c r="A135" s="7" t="s">
        <v>10</v>
      </c>
      <c r="B135" s="7" t="s">
        <v>11</v>
      </c>
      <c r="C135" s="7" t="s">
        <v>14</v>
      </c>
      <c r="D135" s="7" t="s">
        <v>15</v>
      </c>
    </row>
    <row r="136" spans="1:7">
      <c r="A136" s="9" t="s">
        <v>156</v>
      </c>
      <c r="B136" s="9" t="s">
        <v>56</v>
      </c>
      <c r="C136" s="18">
        <v>0.05</v>
      </c>
      <c r="D136" s="3"/>
    </row>
    <row r="137" spans="1:7">
      <c r="A137" s="9" t="s">
        <v>157</v>
      </c>
      <c r="B137" s="9" t="s">
        <v>56</v>
      </c>
      <c r="C137" s="19">
        <v>0</v>
      </c>
      <c r="D137" s="3"/>
    </row>
    <row r="138" spans="1:7">
      <c r="A138" s="9" t="s">
        <v>158</v>
      </c>
      <c r="B138" s="9" t="s">
        <v>56</v>
      </c>
      <c r="C138" s="19">
        <v>0</v>
      </c>
      <c r="D138" s="3"/>
    </row>
    <row r="139" spans="1:7">
      <c r="A139" s="9" t="s">
        <v>159</v>
      </c>
      <c r="B139" s="9" t="s">
        <v>56</v>
      </c>
      <c r="C139" s="19">
        <v>0</v>
      </c>
      <c r="D139" s="3"/>
    </row>
    <row r="140" spans="1:7" ht="27">
      <c r="A140" s="9" t="s">
        <v>160</v>
      </c>
      <c r="B140" s="9" t="s">
        <v>114</v>
      </c>
      <c r="C140" s="19"/>
      <c r="D140" s="3" t="s">
        <v>161</v>
      </c>
    </row>
    <row r="141" spans="1:7">
      <c r="A141" s="6" t="s">
        <v>162</v>
      </c>
    </row>
    <row r="142" spans="1:7">
      <c r="A142" s="7" t="s">
        <v>10</v>
      </c>
      <c r="B142" s="7" t="s">
        <v>11</v>
      </c>
      <c r="C142" s="7" t="s">
        <v>14</v>
      </c>
      <c r="D142" s="7" t="s">
        <v>15</v>
      </c>
    </row>
    <row r="143" spans="1:7">
      <c r="A143" s="9" t="s">
        <v>156</v>
      </c>
      <c r="B143" s="9" t="s">
        <v>56</v>
      </c>
      <c r="C143" s="18">
        <v>0.05</v>
      </c>
      <c r="D143" s="3"/>
    </row>
    <row r="144" spans="1:7">
      <c r="A144" s="9" t="s">
        <v>157</v>
      </c>
      <c r="B144" s="9" t="s">
        <v>56</v>
      </c>
      <c r="C144" s="19">
        <v>0</v>
      </c>
      <c r="D144" s="3"/>
    </row>
    <row r="145" spans="1:10">
      <c r="A145" s="9" t="s">
        <v>158</v>
      </c>
      <c r="B145" s="9" t="s">
        <v>56</v>
      </c>
      <c r="C145" s="19">
        <v>0</v>
      </c>
      <c r="D145" s="3"/>
    </row>
    <row r="146" spans="1:10">
      <c r="A146" s="9" t="s">
        <v>159</v>
      </c>
      <c r="B146" s="9" t="s">
        <v>56</v>
      </c>
      <c r="C146" s="19">
        <v>0</v>
      </c>
      <c r="D146" s="3"/>
    </row>
    <row r="147" spans="1:10" ht="27">
      <c r="A147" s="9" t="s">
        <v>160</v>
      </c>
      <c r="B147" s="9" t="s">
        <v>114</v>
      </c>
      <c r="C147" s="19"/>
      <c r="D147" s="3" t="s">
        <v>161</v>
      </c>
    </row>
    <row r="149" spans="1:10">
      <c r="A149" s="249" t="s">
        <v>163</v>
      </c>
      <c r="B149" s="249"/>
      <c r="C149" s="249"/>
      <c r="D149" s="249"/>
      <c r="E149" s="249"/>
      <c r="F149" s="249"/>
      <c r="G149" s="158"/>
    </row>
    <row r="150" spans="1:10">
      <c r="A150" s="7" t="s">
        <v>10</v>
      </c>
      <c r="B150" s="7" t="s">
        <v>11</v>
      </c>
      <c r="C150" s="7" t="s">
        <v>14</v>
      </c>
      <c r="D150" s="7" t="s">
        <v>15</v>
      </c>
    </row>
    <row r="151" spans="1:10">
      <c r="A151" s="24" t="s">
        <v>164</v>
      </c>
      <c r="B151" s="9" t="s">
        <v>165</v>
      </c>
      <c r="C151" s="46">
        <v>1089.3928799999999</v>
      </c>
      <c r="D151" s="25"/>
    </row>
    <row r="152" spans="1:10">
      <c r="A152" s="24" t="s">
        <v>166</v>
      </c>
      <c r="B152" s="9" t="s">
        <v>167</v>
      </c>
      <c r="C152" s="26">
        <v>2.7600000000000003E-2</v>
      </c>
      <c r="D152" s="25"/>
      <c r="G152" s="251" t="s">
        <v>168</v>
      </c>
      <c r="H152" s="251"/>
      <c r="I152" s="251"/>
      <c r="J152" s="251"/>
    </row>
    <row r="153" spans="1:10">
      <c r="A153" s="24" t="s">
        <v>169</v>
      </c>
      <c r="B153" s="9" t="s">
        <v>170</v>
      </c>
      <c r="C153" s="26">
        <v>40</v>
      </c>
      <c r="D153" s="25"/>
      <c r="G153" s="13" t="s">
        <v>90</v>
      </c>
      <c r="H153" s="13" t="s">
        <v>91</v>
      </c>
      <c r="I153" s="13" t="s">
        <v>90</v>
      </c>
      <c r="J153" s="13" t="s">
        <v>91</v>
      </c>
    </row>
    <row r="154" spans="1:10">
      <c r="G154" s="7" t="s">
        <v>171</v>
      </c>
      <c r="H154" s="7" t="s">
        <v>171</v>
      </c>
      <c r="I154" s="7" t="s">
        <v>172</v>
      </c>
      <c r="J154" s="7" t="s">
        <v>172</v>
      </c>
    </row>
    <row r="155" spans="1:10">
      <c r="A155" s="24" t="s">
        <v>173</v>
      </c>
      <c r="B155" s="9" t="s">
        <v>174</v>
      </c>
      <c r="C155" s="44">
        <f>$C$151*$C$53/(10^6)</f>
        <v>871.51430399999992</v>
      </c>
      <c r="D155" s="25"/>
      <c r="G155" s="9" t="s">
        <v>19</v>
      </c>
      <c r="H155" s="9" t="s">
        <v>19</v>
      </c>
      <c r="I155" s="9" t="s">
        <v>19</v>
      </c>
      <c r="J155" s="9" t="s">
        <v>19</v>
      </c>
    </row>
    <row r="156" spans="1:10">
      <c r="A156" s="24" t="s">
        <v>175</v>
      </c>
      <c r="B156" s="9" t="s">
        <v>174</v>
      </c>
      <c r="C156" s="44">
        <f>$C$152*$C$54*$C$19/1000</f>
        <v>22.080000000000005</v>
      </c>
      <c r="D156" s="25"/>
      <c r="G156" s="23">
        <f>C151*H53/(10^6)*$C$153</f>
        <v>55776.915455999995</v>
      </c>
      <c r="H156" s="23">
        <f>C151*I53/(10^6)*$C$153</f>
        <v>17430.286079999998</v>
      </c>
      <c r="I156" s="23">
        <f>C152*H54*C19/1000*$C$153</f>
        <v>1413.1200000000003</v>
      </c>
      <c r="J156" s="23">
        <f>C152*I54*C19/1000*$C$153</f>
        <v>441.60000000000014</v>
      </c>
    </row>
    <row r="157" spans="1:10">
      <c r="A157" s="24" t="s">
        <v>176</v>
      </c>
      <c r="B157" s="9" t="s">
        <v>19</v>
      </c>
      <c r="C157" s="45">
        <f>C155*$C$153</f>
        <v>34860.572159999996</v>
      </c>
      <c r="D157" s="25"/>
    </row>
    <row r="158" spans="1:10">
      <c r="A158" s="24" t="s">
        <v>177</v>
      </c>
      <c r="B158" s="9" t="s">
        <v>19</v>
      </c>
      <c r="C158" s="45">
        <f>C156*$C$153</f>
        <v>883.20000000000027</v>
      </c>
      <c r="D158" s="25"/>
    </row>
  </sheetData>
  <mergeCells count="14">
    <mergeCell ref="G152:J152"/>
    <mergeCell ref="K96:N96"/>
    <mergeCell ref="H13:I13"/>
    <mergeCell ref="H14:I14"/>
    <mergeCell ref="A149:F149"/>
    <mergeCell ref="H51:I51"/>
    <mergeCell ref="H60:I60"/>
    <mergeCell ref="A1:F1"/>
    <mergeCell ref="A4:F4"/>
    <mergeCell ref="A71:F71"/>
    <mergeCell ref="A81:F81"/>
    <mergeCell ref="A133:F133"/>
    <mergeCell ref="A49:D49"/>
    <mergeCell ref="E49:J49"/>
  </mergeCells>
  <dataValidations count="2">
    <dataValidation showInputMessage="1" showErrorMessage="1" sqref="C7:C9 C42 C27:C29 C17:C19 C61:C69 C74:C78 H52:I57 C143:C147 C52:C59 H61:I69 C136:C140 H6:I6 H8:I8 I7 C37:C39" xr:uid="{028A789C-13FC-4BA8-BD35-406333530ABA}"/>
    <dataValidation showInputMessage="1" showErrorMessage="1" errorTitle="Error" error="Debe elegir un modelo" promptTitle="Seleccionar" sqref="D45 D31:D33 D7 D22:D23 K7 D42 D143:D147 D27:D29 D61:D69 D17:D19 D74:D75 D53:D59 D136 D138:D140 D37:D39" xr:uid="{192A9A90-5B5C-45E1-8D25-5967310D923C}"/>
  </dataValidations>
  <hyperlinks>
    <hyperlink ref="D78" r:id="rId1" xr:uid="{4C6CDBA4-B655-4E8C-B7B6-23DEE7E9BA6A}"/>
    <hyperlink ref="C130" r:id="rId2" display="Ancap 2021 " xr:uid="{2CDDEDB3-93A5-405B-B5A0-0246A25DC4BC}"/>
    <hyperlink ref="E37" r:id="rId3" xr:uid="{644A105D-5DF1-42DA-8823-C4A2C135DDAC}"/>
    <hyperlink ref="E38" r:id="rId4" xr:uid="{F1E26F73-B237-4736-995A-59A4391F33B1}"/>
    <hyperlink ref="E7" r:id="rId5" xr:uid="{56676836-7DE1-4850-8362-A75C0BDCC717}"/>
    <hyperlink ref="D76" r:id="rId6" xr:uid="{5780E1F1-136B-4733-AE56-2518DE69B17C}"/>
    <hyperlink ref="D77" r:id="rId7" xr:uid="{753D0627-0475-44B7-A735-1337F80C5615}"/>
    <hyperlink ref="C131" r:id="rId8" xr:uid="{DB2A0F0B-79FB-45EA-88C5-170E57F8C756}"/>
  </hyperlinks>
  <pageMargins left="0.7" right="0.7" top="0.75" bottom="0.75" header="0.3" footer="0.3"/>
  <pageSetup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K189"/>
  <sheetViews>
    <sheetView zoomScale="115" zoomScaleNormal="115" workbookViewId="0">
      <selection sqref="A1:F1"/>
    </sheetView>
  </sheetViews>
  <sheetFormatPr defaultColWidth="10.85546875" defaultRowHeight="13.5"/>
  <cols>
    <col min="1" max="1" width="21" style="4" customWidth="1"/>
    <col min="2" max="2" width="36.42578125" style="4" bestFit="1" customWidth="1"/>
    <col min="3" max="4" width="14.42578125" style="4" customWidth="1"/>
    <col min="5" max="5" width="19.28515625" style="4" bestFit="1" customWidth="1"/>
    <col min="6" max="13" width="13.42578125" style="4" customWidth="1"/>
    <col min="14" max="14" width="10.85546875" style="4"/>
    <col min="15" max="15" width="12.140625" style="4" bestFit="1" customWidth="1"/>
    <col min="16" max="16384" width="10.85546875" style="4"/>
  </cols>
  <sheetData>
    <row r="1" spans="1:10" ht="12.6" customHeight="1">
      <c r="A1" s="258" t="s">
        <v>178</v>
      </c>
      <c r="B1" s="258"/>
      <c r="C1" s="258"/>
      <c r="D1" s="258"/>
      <c r="E1" s="258"/>
      <c r="F1" s="258"/>
      <c r="G1" s="66"/>
      <c r="H1" s="66"/>
    </row>
    <row r="2" spans="1:10" ht="27">
      <c r="C2" s="37" t="s">
        <v>179</v>
      </c>
      <c r="D2" s="37" t="s">
        <v>180</v>
      </c>
      <c r="E2" s="38" t="s">
        <v>181</v>
      </c>
      <c r="F2" s="38" t="s">
        <v>180</v>
      </c>
      <c r="G2" s="64"/>
      <c r="H2" s="64"/>
    </row>
    <row r="3" spans="1:10">
      <c r="A3" s="254" t="s">
        <v>182</v>
      </c>
      <c r="B3" s="28" t="s">
        <v>183</v>
      </c>
      <c r="C3" s="35">
        <f>Parametros!$C$7</f>
        <v>150000</v>
      </c>
      <c r="D3" s="53">
        <f t="shared" ref="D3:D15" ca="1" si="0">C3/(SUM($C$3:$C$15))</f>
        <v>0.21698312785113566</v>
      </c>
      <c r="E3" s="36">
        <f>Parametros!C42</f>
        <v>300000</v>
      </c>
      <c r="F3" s="113">
        <f t="shared" ref="F3:F15" ca="1" si="1">E3/(SUM($E$3:$E$15))</f>
        <v>0.60935794781343333</v>
      </c>
    </row>
    <row r="4" spans="1:10">
      <c r="A4" s="255"/>
      <c r="B4" s="30" t="s">
        <v>28</v>
      </c>
      <c r="C4" s="31">
        <v>0</v>
      </c>
      <c r="D4" s="51">
        <f t="shared" ca="1" si="0"/>
        <v>0</v>
      </c>
      <c r="E4" s="32">
        <f>Parametros!C28+Parametros!C27*Parametros!C45</f>
        <v>12100</v>
      </c>
      <c r="F4" s="114">
        <f t="shared" ca="1" si="1"/>
        <v>2.4577437228475146E-2</v>
      </c>
    </row>
    <row r="5" spans="1:10">
      <c r="A5" s="255"/>
      <c r="B5" s="30" t="s">
        <v>184</v>
      </c>
      <c r="C5" s="31">
        <v>0</v>
      </c>
      <c r="D5" s="51">
        <f t="shared" ca="1" si="0"/>
        <v>0</v>
      </c>
      <c r="E5" s="32">
        <f>Parametros!C30</f>
        <v>2000</v>
      </c>
      <c r="F5" s="114">
        <f t="shared" ca="1" si="1"/>
        <v>4.0623863187562222E-3</v>
      </c>
    </row>
    <row r="6" spans="1:10">
      <c r="A6" s="255"/>
      <c r="B6" s="30" t="s">
        <v>185</v>
      </c>
      <c r="C6" s="31">
        <v>0</v>
      </c>
      <c r="D6" s="51">
        <f t="shared" ca="1" si="0"/>
        <v>0</v>
      </c>
      <c r="E6" s="32">
        <f>Parametros!C29</f>
        <v>7500</v>
      </c>
      <c r="F6" s="114">
        <f t="shared" ca="1" si="1"/>
        <v>1.5233948695335835E-2</v>
      </c>
    </row>
    <row r="7" spans="1:10">
      <c r="A7" s="256"/>
      <c r="B7" s="29" t="s">
        <v>186</v>
      </c>
      <c r="C7" s="33">
        <v>0</v>
      </c>
      <c r="D7" s="52">
        <f t="shared" ca="1" si="0"/>
        <v>0</v>
      </c>
      <c r="E7" s="34">
        <f>Parametros!C43*Parametros!C44*(1-(Parametros!C38))</f>
        <v>18000.000000000004</v>
      </c>
      <c r="F7" s="115">
        <f t="shared" ca="1" si="1"/>
        <v>3.6561476868806009E-2</v>
      </c>
    </row>
    <row r="8" spans="1:10">
      <c r="A8" s="254" t="s">
        <v>187</v>
      </c>
      <c r="B8" s="118" t="s">
        <v>156</v>
      </c>
      <c r="C8" s="35">
        <f>C3*(Parametros!$C$136)</f>
        <v>7500</v>
      </c>
      <c r="D8" s="53">
        <f t="shared" ca="1" si="0"/>
        <v>1.0849156392556783E-2</v>
      </c>
      <c r="E8" s="36">
        <f>E3*(Parametros!$C$143)</f>
        <v>15000</v>
      </c>
      <c r="F8" s="114">
        <f t="shared" ca="1" si="1"/>
        <v>3.0467897390671669E-2</v>
      </c>
    </row>
    <row r="9" spans="1:10">
      <c r="A9" s="255"/>
      <c r="B9" s="118" t="s">
        <v>157</v>
      </c>
      <c r="C9" s="31">
        <f>C3*(Parametros!$C$137)</f>
        <v>0</v>
      </c>
      <c r="D9" s="51">
        <f t="shared" ca="1" si="0"/>
        <v>0</v>
      </c>
      <c r="E9" s="32">
        <f>E3*(Parametros!$C$144)</f>
        <v>0</v>
      </c>
      <c r="F9" s="114">
        <f t="shared" ca="1" si="1"/>
        <v>0</v>
      </c>
    </row>
    <row r="10" spans="1:10">
      <c r="A10" s="255"/>
      <c r="B10" s="118" t="s">
        <v>158</v>
      </c>
      <c r="C10" s="31">
        <f>C3*(Parametros!$C$138)</f>
        <v>0</v>
      </c>
      <c r="D10" s="51">
        <f t="shared" ca="1" si="0"/>
        <v>0</v>
      </c>
      <c r="E10" s="32">
        <f>E3*(Parametros!$C$145)</f>
        <v>0</v>
      </c>
      <c r="F10" s="114">
        <f t="shared" ca="1" si="1"/>
        <v>0</v>
      </c>
    </row>
    <row r="11" spans="1:10">
      <c r="A11" s="255"/>
      <c r="B11" s="118" t="s">
        <v>159</v>
      </c>
      <c r="C11" s="31">
        <f>C3*(Parametros!$C$139)</f>
        <v>0</v>
      </c>
      <c r="D11" s="51">
        <f t="shared" ca="1" si="0"/>
        <v>0</v>
      </c>
      <c r="E11" s="32">
        <f>E3*(Parametros!$C$146)</f>
        <v>0</v>
      </c>
      <c r="F11" s="114">
        <f t="shared" ca="1" si="1"/>
        <v>0</v>
      </c>
    </row>
    <row r="12" spans="1:10">
      <c r="A12" s="256"/>
      <c r="B12" s="29" t="s">
        <v>188</v>
      </c>
      <c r="C12" s="33">
        <f>-CUMIPMT(Parametros!C76,Parametros!C75,(SUM(C3,C8:C11))*Parametros!C74,1,Parametros!C75,0)</f>
        <v>13620.778509859359</v>
      </c>
      <c r="D12" s="52">
        <f t="shared" ca="1" si="0"/>
        <v>1.9703194165578763E-2</v>
      </c>
      <c r="E12" s="34">
        <f>-CUMIPMT(Parametros!C77,Parametros!C75,(SUM(E3,E8:E11))*Parametros!C74,1,Parametros!C75,0)</f>
        <v>27241.557019718719</v>
      </c>
      <c r="F12" s="115">
        <f t="shared" ca="1" si="1"/>
        <v>5.5332864269261428E-2</v>
      </c>
      <c r="H12" s="190"/>
      <c r="I12" s="190"/>
    </row>
    <row r="13" spans="1:10">
      <c r="A13" s="254" t="s">
        <v>189</v>
      </c>
      <c r="B13" s="30" t="s">
        <v>190</v>
      </c>
      <c r="C13" s="31">
        <f>(Parametros!$C$10+Parametros!$C$11+Parametros!$C$12)*Parametros!$C$53</f>
        <v>122810.81081081083</v>
      </c>
      <c r="D13" s="51">
        <f t="shared" ca="1" si="0"/>
        <v>0.17765249242442532</v>
      </c>
      <c r="E13" s="32">
        <f>Parametros!$C$54*(Parametros!$C$21+Parametros!$C$23)</f>
        <v>39956.75675675676</v>
      </c>
      <c r="F13" s="114">
        <f t="shared" ca="1" si="1"/>
        <v>8.1159890995259457E-2</v>
      </c>
      <c r="I13" s="69"/>
    </row>
    <row r="14" spans="1:10">
      <c r="A14" s="255"/>
      <c r="B14" s="30" t="s">
        <v>191</v>
      </c>
      <c r="C14" s="31">
        <v>0</v>
      </c>
      <c r="D14" s="51">
        <f t="shared" ca="1" si="0"/>
        <v>0</v>
      </c>
      <c r="E14" s="32">
        <f>Parametros!$C$22*(SUM(E4:E6))*Parametros!$C$17</f>
        <v>6912</v>
      </c>
      <c r="F14" s="114">
        <f t="shared" ca="1" si="1"/>
        <v>1.4039607117621505E-2</v>
      </c>
      <c r="I14" s="69"/>
    </row>
    <row r="15" spans="1:10">
      <c r="A15" s="256"/>
      <c r="B15" s="29" t="s">
        <v>192</v>
      </c>
      <c r="C15" s="33">
        <f ca="1">SUM(Parametros!H100:OFFSET(Parametros!H100,Parametros!C8-1,0))</f>
        <v>397366.40000000008</v>
      </c>
      <c r="D15" s="52">
        <f t="shared" ca="1" si="0"/>
        <v>0.57481202916630347</v>
      </c>
      <c r="E15" s="34">
        <f ca="1">SUM(Parametros!$I$100:OFFSET(Parametros!$I$100,Parametros!$C$17-1,0))</f>
        <v>63611.155200000016</v>
      </c>
      <c r="F15" s="115">
        <f t="shared" ca="1" si="1"/>
        <v>0.12920654330237941</v>
      </c>
      <c r="H15" s="190"/>
    </row>
    <row r="16" spans="1:10" ht="12.6" customHeight="1">
      <c r="A16" s="80"/>
      <c r="B16" s="72" t="s">
        <v>193</v>
      </c>
      <c r="C16" s="73">
        <f ca="1">SUM(C3:C15)</f>
        <v>691297.98932067025</v>
      </c>
      <c r="D16" s="92"/>
      <c r="E16" s="73">
        <f ca="1">SUM(E3:E15)</f>
        <v>492321.46897647547</v>
      </c>
      <c r="F16" s="92"/>
      <c r="J16" s="69"/>
    </row>
    <row r="17" spans="1:10" ht="12.6" customHeight="1">
      <c r="A17" s="80"/>
      <c r="B17" s="72"/>
      <c r="C17" s="73">
        <f ca="1">C16/Parametros!$C$8</f>
        <v>43206.124332541891</v>
      </c>
      <c r="D17" s="69" t="s">
        <v>194</v>
      </c>
      <c r="E17" s="73">
        <f ca="1">E16/Parametros!$C$17</f>
        <v>30770.091811029717</v>
      </c>
      <c r="F17" s="69" t="s">
        <v>194</v>
      </c>
      <c r="J17" s="69"/>
    </row>
    <row r="18" spans="1:10">
      <c r="A18" s="74" t="s">
        <v>195</v>
      </c>
      <c r="B18" s="75" t="s">
        <v>196</v>
      </c>
      <c r="C18" s="76">
        <f>Parametros!C157</f>
        <v>34860.572159999996</v>
      </c>
      <c r="D18" s="77"/>
      <c r="E18" s="78">
        <f>Parametros!C158</f>
        <v>883.20000000000027</v>
      </c>
      <c r="F18" s="79"/>
      <c r="J18" s="69"/>
    </row>
    <row r="19" spans="1:10" ht="12.6" customHeight="1">
      <c r="B19" s="72" t="s">
        <v>193</v>
      </c>
      <c r="C19" s="73">
        <f ca="1">C18+C16</f>
        <v>726158.56148067024</v>
      </c>
      <c r="D19" s="69"/>
      <c r="E19" s="73">
        <f ca="1">E18+E16</f>
        <v>493204.66897647548</v>
      </c>
      <c r="F19" s="69"/>
    </row>
    <row r="20" spans="1:10" ht="12.6" customHeight="1">
      <c r="B20" s="72"/>
      <c r="C20" s="73">
        <f ca="1">C19/Parametros!$C$8</f>
        <v>45384.91009254189</v>
      </c>
      <c r="D20" s="69" t="s">
        <v>194</v>
      </c>
      <c r="E20" s="73">
        <f ca="1">E19/Parametros!$C$17</f>
        <v>30825.291811029718</v>
      </c>
      <c r="F20" s="69" t="s">
        <v>194</v>
      </c>
    </row>
    <row r="21" spans="1:10" ht="16.5">
      <c r="A21" s="257" t="s">
        <v>197</v>
      </c>
      <c r="B21" s="257"/>
      <c r="C21" s="102">
        <f ca="1">SUM(C3:C15)</f>
        <v>691297.98932067025</v>
      </c>
      <c r="D21" s="40"/>
      <c r="E21" s="54">
        <f ca="1">SUM(E3:E15)</f>
        <v>492321.46897647547</v>
      </c>
      <c r="F21" s="41"/>
    </row>
    <row r="22" spans="1:10" ht="13.5" customHeight="1">
      <c r="A22" s="257" t="s">
        <v>198</v>
      </c>
      <c r="B22" s="257"/>
      <c r="C22" s="42">
        <f ca="1">C21/Parametros!C53</f>
        <v>0.8641224866508378</v>
      </c>
      <c r="D22" s="42"/>
      <c r="E22" s="43">
        <f ca="1">E21/Parametros!C54</f>
        <v>0.6154018362205943</v>
      </c>
      <c r="F22" s="41"/>
    </row>
    <row r="23" spans="1:10" ht="16.5">
      <c r="A23" s="257" t="s">
        <v>199</v>
      </c>
      <c r="B23" s="257"/>
      <c r="C23" s="42"/>
      <c r="D23" s="42"/>
      <c r="E23" s="41"/>
      <c r="F23" s="43"/>
    </row>
    <row r="24" spans="1:10">
      <c r="I24" s="69"/>
    </row>
    <row r="25" spans="1:10" ht="16.5">
      <c r="A25" s="257" t="s">
        <v>200</v>
      </c>
      <c r="B25" s="257"/>
      <c r="C25" s="102">
        <f ca="1">C19</f>
        <v>726158.56148067024</v>
      </c>
      <c r="D25" s="40"/>
      <c r="E25" s="54">
        <f ca="1">E19</f>
        <v>493204.66897647548</v>
      </c>
      <c r="F25" s="41"/>
    </row>
    <row r="26" spans="1:10" ht="13.5" customHeight="1">
      <c r="A26" s="257" t="s">
        <v>201</v>
      </c>
      <c r="B26" s="257"/>
      <c r="C26" s="112">
        <f ca="1">C25/Parametros!C53</f>
        <v>0.90769820185083783</v>
      </c>
      <c r="D26" s="40"/>
      <c r="E26" s="111">
        <f ca="1">E25/Parametros!C54</f>
        <v>0.61650583622059441</v>
      </c>
      <c r="F26" s="41"/>
    </row>
    <row r="27" spans="1:10" ht="16.5">
      <c r="A27" s="257" t="s">
        <v>199</v>
      </c>
      <c r="B27" s="257"/>
      <c r="C27" s="42"/>
      <c r="D27" s="42"/>
      <c r="E27" s="41"/>
      <c r="F27" s="43"/>
    </row>
    <row r="28" spans="1:10">
      <c r="E28" s="92"/>
    </row>
    <row r="29" spans="1:10" ht="13.5" customHeight="1">
      <c r="A29" s="257" t="s">
        <v>202</v>
      </c>
      <c r="B29" s="257"/>
      <c r="C29" s="39">
        <v>0</v>
      </c>
      <c r="D29" s="42"/>
      <c r="E29" s="109">
        <v>0</v>
      </c>
      <c r="F29" s="43"/>
    </row>
    <row r="30" spans="1:10" ht="16.5">
      <c r="A30" s="257" t="s">
        <v>203</v>
      </c>
      <c r="B30" s="257"/>
      <c r="C30" s="39">
        <v>0</v>
      </c>
      <c r="D30" s="104"/>
      <c r="E30" s="103">
        <v>0</v>
      </c>
      <c r="F30" s="105"/>
    </row>
    <row r="32" spans="1:10">
      <c r="C32" s="92"/>
      <c r="E32" s="92"/>
    </row>
    <row r="33" spans="1:8">
      <c r="A33" s="258" t="s">
        <v>204</v>
      </c>
      <c r="B33" s="258"/>
      <c r="C33" s="258"/>
      <c r="D33" s="258"/>
      <c r="E33" s="258"/>
      <c r="F33" s="258"/>
      <c r="G33" s="66"/>
      <c r="H33" s="66"/>
    </row>
    <row r="34" spans="1:8" ht="27">
      <c r="C34" s="37" t="s">
        <v>179</v>
      </c>
      <c r="D34" s="38" t="s">
        <v>181</v>
      </c>
    </row>
    <row r="35" spans="1:8" ht="14.25" thickBot="1">
      <c r="B35" s="27"/>
      <c r="E35" s="7">
        <v>2021</v>
      </c>
      <c r="F35" s="7" t="s">
        <v>205</v>
      </c>
      <c r="G35" s="7" t="s">
        <v>162</v>
      </c>
      <c r="H35" s="7" t="s">
        <v>206</v>
      </c>
    </row>
    <row r="36" spans="1:8">
      <c r="A36" s="262" t="s">
        <v>182</v>
      </c>
      <c r="B36" s="28" t="s">
        <v>183</v>
      </c>
      <c r="C36" s="59">
        <f>C3/Parametros!$C$53</f>
        <v>0.1875</v>
      </c>
      <c r="D36" s="84">
        <f>E3/Parametros!$C$54</f>
        <v>0.375</v>
      </c>
      <c r="E36" s="24" t="s">
        <v>207</v>
      </c>
      <c r="F36" s="69">
        <f>SUM(C3:C7)+SUM(C8)</f>
        <v>157500</v>
      </c>
      <c r="G36" s="69">
        <f>SUM(E3:E7)+SUM(E8)</f>
        <v>354600</v>
      </c>
      <c r="H36" s="92">
        <f>G36/F36</f>
        <v>2.2514285714285713</v>
      </c>
    </row>
    <row r="37" spans="1:8">
      <c r="A37" s="259"/>
      <c r="B37" s="30" t="s">
        <v>28</v>
      </c>
      <c r="C37" s="60">
        <f>C4/Parametros!$C$53</f>
        <v>0</v>
      </c>
      <c r="D37" s="85">
        <f>E4/Parametros!$C$54</f>
        <v>1.5125E-2</v>
      </c>
      <c r="E37" s="24" t="s">
        <v>208</v>
      </c>
      <c r="F37" s="69">
        <f>F36-F38</f>
        <v>110250</v>
      </c>
      <c r="G37" s="69">
        <f>G36-G38</f>
        <v>220500</v>
      </c>
      <c r="H37" s="92">
        <f t="shared" ref="H37:H38" si="2">G37/F37</f>
        <v>2</v>
      </c>
    </row>
    <row r="38" spans="1:8">
      <c r="A38" s="259"/>
      <c r="B38" s="30" t="s">
        <v>184</v>
      </c>
      <c r="C38" s="60">
        <f>C5/Parametros!$C$53</f>
        <v>0</v>
      </c>
      <c r="D38" s="85">
        <f>E5/Parametros!$C$54</f>
        <v>2.5000000000000001E-3</v>
      </c>
      <c r="E38" s="24" t="s">
        <v>209</v>
      </c>
      <c r="F38" s="106">
        <f>(1-Parametros!$C$74)*(C3+C8)</f>
        <v>47250.000000000007</v>
      </c>
      <c r="G38" s="106">
        <f>(1-Parametros!$C$74)*(E3+E8)+SUM(E4:E7)</f>
        <v>134100</v>
      </c>
      <c r="H38" s="92">
        <f t="shared" si="2"/>
        <v>2.8380952380952378</v>
      </c>
    </row>
    <row r="39" spans="1:8">
      <c r="A39" s="259"/>
      <c r="B39" s="30" t="s">
        <v>185</v>
      </c>
      <c r="C39" s="60">
        <f>C6/Parametros!$C$53</f>
        <v>0</v>
      </c>
      <c r="D39" s="85">
        <f>E6/Parametros!$C$54</f>
        <v>9.3749999999999997E-3</v>
      </c>
    </row>
    <row r="40" spans="1:8">
      <c r="A40" s="261"/>
      <c r="B40" s="29" t="s">
        <v>186</v>
      </c>
      <c r="C40" s="61">
        <f>C7/Parametros!$C$53</f>
        <v>0</v>
      </c>
      <c r="D40" s="86">
        <f>E7/Parametros!$C$54</f>
        <v>2.2500000000000006E-2</v>
      </c>
    </row>
    <row r="41" spans="1:8">
      <c r="A41" s="260" t="s">
        <v>187</v>
      </c>
      <c r="B41" s="118" t="s">
        <v>156</v>
      </c>
      <c r="C41" s="62">
        <f>C8/Parametros!$C$53</f>
        <v>9.3749999999999997E-3</v>
      </c>
      <c r="D41" s="87">
        <f>E8/Parametros!$C$54</f>
        <v>1.8749999999999999E-2</v>
      </c>
    </row>
    <row r="42" spans="1:8">
      <c r="A42" s="259"/>
      <c r="B42" s="118" t="s">
        <v>157</v>
      </c>
      <c r="C42" s="60">
        <f>C9/Parametros!$C$53</f>
        <v>0</v>
      </c>
      <c r="D42" s="85">
        <f>E9/Parametros!$C$54</f>
        <v>0</v>
      </c>
    </row>
    <row r="43" spans="1:8">
      <c r="A43" s="259"/>
      <c r="B43" s="118" t="s">
        <v>158</v>
      </c>
      <c r="C43" s="60">
        <f>C10/Parametros!$C$53</f>
        <v>0</v>
      </c>
      <c r="D43" s="85">
        <f>E10/Parametros!$C$54</f>
        <v>0</v>
      </c>
    </row>
    <row r="44" spans="1:8">
      <c r="A44" s="259"/>
      <c r="B44" s="118" t="s">
        <v>159</v>
      </c>
      <c r="C44" s="60">
        <f>C11/Parametros!$C$53</f>
        <v>0</v>
      </c>
      <c r="D44" s="85">
        <f>E11/Parametros!$C$54</f>
        <v>0</v>
      </c>
    </row>
    <row r="45" spans="1:8">
      <c r="A45" s="261"/>
      <c r="B45" s="29" t="s">
        <v>210</v>
      </c>
      <c r="C45" s="61">
        <f>C12/Parametros!$C$53</f>
        <v>1.70259731373242E-2</v>
      </c>
      <c r="D45" s="86">
        <f>E12/Parametros!$C$54</f>
        <v>3.4051946274648401E-2</v>
      </c>
    </row>
    <row r="46" spans="1:8">
      <c r="A46" s="259" t="s">
        <v>189</v>
      </c>
      <c r="B46" s="30" t="s">
        <v>190</v>
      </c>
      <c r="C46" s="60">
        <f>C13/Parametros!$C$53</f>
        <v>0.15351351351351353</v>
      </c>
      <c r="D46" s="85">
        <f>E13/Parametros!$C$54</f>
        <v>4.9945945945945952E-2</v>
      </c>
    </row>
    <row r="47" spans="1:8">
      <c r="A47" s="259"/>
      <c r="B47" s="30" t="s">
        <v>191</v>
      </c>
      <c r="C47" s="60">
        <f>C14/Parametros!$C$53</f>
        <v>0</v>
      </c>
      <c r="D47" s="85">
        <f>E14/Parametros!$C$54</f>
        <v>8.6400000000000001E-3</v>
      </c>
    </row>
    <row r="48" spans="1:8" ht="14.25" thickBot="1">
      <c r="A48" s="49"/>
      <c r="B48" s="29" t="s">
        <v>192</v>
      </c>
      <c r="C48" s="63">
        <f ca="1">C15/Parametros!$C$53</f>
        <v>0.49670800000000009</v>
      </c>
      <c r="D48" s="88">
        <f ca="1">E15/Parametros!$C$54</f>
        <v>7.9513944000000017E-2</v>
      </c>
      <c r="G48" s="69"/>
    </row>
    <row r="49" spans="1:4">
      <c r="A49" s="74" t="s">
        <v>195</v>
      </c>
      <c r="B49" s="75" t="s">
        <v>196</v>
      </c>
      <c r="C49" s="60">
        <f>C18/Parametros!$C$53</f>
        <v>4.3575715199999997E-2</v>
      </c>
      <c r="D49" s="84">
        <f>E18/Parametros!$C$54</f>
        <v>1.1040000000000004E-3</v>
      </c>
    </row>
    <row r="92" spans="1:8" s="70" customFormat="1">
      <c r="A92" s="71" t="s">
        <v>211</v>
      </c>
    </row>
    <row r="93" spans="1:8">
      <c r="A93" s="258" t="s">
        <v>212</v>
      </c>
      <c r="B93" s="258"/>
      <c r="C93" s="258"/>
      <c r="D93" s="258"/>
      <c r="E93" s="258"/>
      <c r="F93" s="258"/>
      <c r="G93" s="66"/>
      <c r="H93" s="66"/>
    </row>
    <row r="94" spans="1:8">
      <c r="C94" s="37" t="s">
        <v>90</v>
      </c>
      <c r="D94" s="37" t="s">
        <v>91</v>
      </c>
      <c r="E94" s="38" t="s">
        <v>90</v>
      </c>
      <c r="F94" s="38" t="s">
        <v>91</v>
      </c>
      <c r="G94" s="64"/>
      <c r="H94" s="64"/>
    </row>
    <row r="95" spans="1:8" ht="14.25" thickBot="1">
      <c r="B95" s="27"/>
    </row>
    <row r="96" spans="1:8">
      <c r="A96" s="254" t="s">
        <v>182</v>
      </c>
      <c r="B96" s="28" t="s">
        <v>183</v>
      </c>
      <c r="C96" s="47">
        <f t="shared" ref="C96:C101" si="3">C3</f>
        <v>150000</v>
      </c>
      <c r="D96" s="47">
        <f>C96</f>
        <v>150000</v>
      </c>
      <c r="E96" s="48">
        <f>E3</f>
        <v>300000</v>
      </c>
      <c r="F96" s="48">
        <f>E96</f>
        <v>300000</v>
      </c>
      <c r="G96" s="65"/>
      <c r="H96" s="65"/>
    </row>
    <row r="97" spans="1:8">
      <c r="A97" s="255"/>
      <c r="B97" s="30" t="s">
        <v>28</v>
      </c>
      <c r="C97" s="31">
        <f t="shared" si="3"/>
        <v>0</v>
      </c>
      <c r="D97" s="31">
        <f t="shared" ref="D97:D107" si="4">C97</f>
        <v>0</v>
      </c>
      <c r="E97" s="93">
        <f>Parametros!$C$28+Parametros!$C$27*Parametros!$H$69</f>
        <v>8500</v>
      </c>
      <c r="F97" s="93">
        <f>Parametros!$C$28+Parametros!$C$27*Parametros!$I$69</f>
        <v>4900</v>
      </c>
      <c r="G97" s="65"/>
      <c r="H97" s="65"/>
    </row>
    <row r="98" spans="1:8">
      <c r="A98" s="255"/>
      <c r="B98" s="30" t="s">
        <v>184</v>
      </c>
      <c r="C98" s="31">
        <f t="shared" si="3"/>
        <v>0</v>
      </c>
      <c r="D98" s="31">
        <f t="shared" si="4"/>
        <v>0</v>
      </c>
      <c r="E98" s="32">
        <f>E5</f>
        <v>2000</v>
      </c>
      <c r="F98" s="32">
        <f t="shared" ref="F98:F105" si="5">E98</f>
        <v>2000</v>
      </c>
      <c r="G98" s="65"/>
      <c r="H98" s="65"/>
    </row>
    <row r="99" spans="1:8">
      <c r="A99" s="255"/>
      <c r="B99" s="30" t="s">
        <v>185</v>
      </c>
      <c r="C99" s="31">
        <f t="shared" si="3"/>
        <v>0</v>
      </c>
      <c r="D99" s="31">
        <f t="shared" si="4"/>
        <v>0</v>
      </c>
      <c r="E99" s="32">
        <f>E6</f>
        <v>7500</v>
      </c>
      <c r="F99" s="32">
        <f t="shared" si="5"/>
        <v>7500</v>
      </c>
      <c r="G99" s="65"/>
      <c r="H99" s="65"/>
    </row>
    <row r="100" spans="1:8">
      <c r="A100" s="256"/>
      <c r="B100" s="29" t="s">
        <v>186</v>
      </c>
      <c r="C100" s="33">
        <f t="shared" si="3"/>
        <v>0</v>
      </c>
      <c r="D100" s="33">
        <f t="shared" si="4"/>
        <v>0</v>
      </c>
      <c r="E100" s="94">
        <f>Parametros!$C$43*Parametros!$H$65*(1-(Parametros!$C$37))</f>
        <v>50000</v>
      </c>
      <c r="F100" s="94">
        <f>Parametros!$C$43*Parametros!$I$65*(1-(Parametros!$C$37))</f>
        <v>15000</v>
      </c>
      <c r="G100" s="65"/>
      <c r="H100" s="65"/>
    </row>
    <row r="101" spans="1:8">
      <c r="A101" s="254" t="s">
        <v>187</v>
      </c>
      <c r="B101" s="118" t="s">
        <v>156</v>
      </c>
      <c r="C101" s="35">
        <f t="shared" si="3"/>
        <v>7500</v>
      </c>
      <c r="D101" s="35">
        <f t="shared" si="4"/>
        <v>7500</v>
      </c>
      <c r="E101" s="36">
        <f>E8</f>
        <v>15000</v>
      </c>
      <c r="F101" s="81">
        <f t="shared" si="5"/>
        <v>15000</v>
      </c>
      <c r="G101" s="65"/>
      <c r="H101" s="65"/>
    </row>
    <row r="102" spans="1:8">
      <c r="A102" s="255"/>
      <c r="B102" s="118" t="s">
        <v>157</v>
      </c>
      <c r="C102" s="31">
        <f t="shared" ref="C102:C103" si="6">C9</f>
        <v>0</v>
      </c>
      <c r="D102" s="31">
        <f t="shared" ref="D102:D103" si="7">C102</f>
        <v>0</v>
      </c>
      <c r="E102" s="32">
        <f t="shared" ref="E102:E103" si="8">E9</f>
        <v>0</v>
      </c>
      <c r="F102" s="82">
        <f t="shared" ref="F102:F103" si="9">E102</f>
        <v>0</v>
      </c>
      <c r="G102" s="65"/>
      <c r="H102" s="65"/>
    </row>
    <row r="103" spans="1:8">
      <c r="A103" s="255"/>
      <c r="B103" s="118" t="s">
        <v>158</v>
      </c>
      <c r="C103" s="31">
        <f t="shared" si="6"/>
        <v>0</v>
      </c>
      <c r="D103" s="31">
        <f t="shared" si="7"/>
        <v>0</v>
      </c>
      <c r="E103" s="32">
        <f t="shared" si="8"/>
        <v>0</v>
      </c>
      <c r="F103" s="82">
        <f t="shared" si="9"/>
        <v>0</v>
      </c>
      <c r="G103" s="65"/>
      <c r="H103" s="65"/>
    </row>
    <row r="104" spans="1:8">
      <c r="A104" s="255"/>
      <c r="B104" s="118" t="s">
        <v>159</v>
      </c>
      <c r="C104" s="31">
        <f>C11</f>
        <v>0</v>
      </c>
      <c r="D104" s="31">
        <f t="shared" si="4"/>
        <v>0</v>
      </c>
      <c r="E104" s="32">
        <f t="shared" ref="E104" si="10">E11</f>
        <v>0</v>
      </c>
      <c r="F104" s="82">
        <f t="shared" si="5"/>
        <v>0</v>
      </c>
      <c r="G104" s="65"/>
      <c r="H104" s="65"/>
    </row>
    <row r="105" spans="1:8">
      <c r="A105" s="256"/>
      <c r="B105" s="29" t="s">
        <v>210</v>
      </c>
      <c r="C105" s="33">
        <f>C12</f>
        <v>13620.778509859359</v>
      </c>
      <c r="D105" s="33">
        <f t="shared" si="4"/>
        <v>13620.778509859359</v>
      </c>
      <c r="E105" s="34">
        <f t="shared" ref="E105" si="11">E12</f>
        <v>27241.557019718719</v>
      </c>
      <c r="F105" s="83">
        <f t="shared" si="5"/>
        <v>27241.557019718719</v>
      </c>
      <c r="G105" s="65"/>
      <c r="H105" s="65"/>
    </row>
    <row r="106" spans="1:8">
      <c r="A106" s="254" t="s">
        <v>189</v>
      </c>
      <c r="B106" s="30" t="s">
        <v>190</v>
      </c>
      <c r="C106" s="31">
        <f>(Parametros!$C$10+Parametros!$C$11+Parametros!$C$12)*Parametros!$H$53</f>
        <v>196497.29729729731</v>
      </c>
      <c r="D106" s="31">
        <f>(Parametros!$C$10+Parametros!$C$11+Parametros!$C$12)*Parametros!$I$53</f>
        <v>61405.405405405414</v>
      </c>
      <c r="E106" s="93">
        <f>Parametros!$H$54*(Parametros!$C$21+Parametros!$C$23)</f>
        <v>63930.810810810821</v>
      </c>
      <c r="F106" s="95">
        <f>Parametros!$I$54*(Parametros!$C$21+Parametros!$C$23)</f>
        <v>19978.37837837838</v>
      </c>
      <c r="G106" s="65"/>
      <c r="H106" s="65"/>
    </row>
    <row r="107" spans="1:8">
      <c r="A107" s="255"/>
      <c r="B107" s="30" t="s">
        <v>191</v>
      </c>
      <c r="C107" s="31">
        <v>0</v>
      </c>
      <c r="D107" s="31">
        <f t="shared" si="4"/>
        <v>0</v>
      </c>
      <c r="E107" s="32">
        <f>Parametros!$C$22*(SUM(E4:E6))*Parametros!$C$17</f>
        <v>6912</v>
      </c>
      <c r="F107" s="82">
        <f>Parametros!$C$22*(SUM(E4:E6))*Parametros!$C$17</f>
        <v>6912</v>
      </c>
      <c r="G107" s="65"/>
      <c r="H107" s="65"/>
    </row>
    <row r="108" spans="1:8" ht="14.25" thickBot="1">
      <c r="A108" s="256"/>
      <c r="B108" s="29" t="s">
        <v>192</v>
      </c>
      <c r="C108" s="50">
        <f ca="1">SUM(Parametros!$K$100:OFFSET(Parametros!$K$100,Parametros!$C$8-1,0))</f>
        <v>635786.24000000011</v>
      </c>
      <c r="D108" s="50">
        <f ca="1">SUM(Parametros!$L$100:OFFSET(Parametros!$L$100,Parametros!$C$8-1,0))</f>
        <v>198683.20000000004</v>
      </c>
      <c r="E108" s="96">
        <f ca="1">SUM(Parametros!$M$100:OFFSET(Parametros!$M$100,Parametros!$C$17-1,0))</f>
        <v>99114.967199999985</v>
      </c>
      <c r="F108" s="97">
        <f ca="1">SUM(Parametros!$N$100:OFFSET(Parametros!$N$100,Parametros!$C$17-1,0))</f>
        <v>32671.555200000003</v>
      </c>
      <c r="G108" s="65"/>
      <c r="H108" s="65"/>
    </row>
    <row r="109" spans="1:8">
      <c r="A109" s="74" t="s">
        <v>195</v>
      </c>
      <c r="B109" s="75" t="s">
        <v>196</v>
      </c>
      <c r="C109" s="31">
        <f>Parametros!$G$156</f>
        <v>55776.915455999995</v>
      </c>
      <c r="D109" s="31">
        <f>Parametros!$H$156</f>
        <v>17430.286079999998</v>
      </c>
      <c r="E109" s="93">
        <f>Parametros!$I$156</f>
        <v>1413.1200000000003</v>
      </c>
      <c r="F109" s="95">
        <f>Parametros!$J$156</f>
        <v>441.60000000000014</v>
      </c>
      <c r="G109" s="65"/>
      <c r="H109" s="65"/>
    </row>
    <row r="110" spans="1:8">
      <c r="C110" s="69">
        <f ca="1">SUM(C96:C109)</f>
        <v>1059181.2312631567</v>
      </c>
      <c r="D110" s="69"/>
      <c r="E110" s="69">
        <f ca="1">SUM(E96:E109)</f>
        <v>581612.45503052953</v>
      </c>
    </row>
    <row r="111" spans="1:8" ht="16.5">
      <c r="A111" s="257" t="s">
        <v>197</v>
      </c>
      <c r="B111" s="257"/>
      <c r="C111" s="102">
        <f ca="1">SUM(C96:C108)</f>
        <v>1003404.3158071567</v>
      </c>
      <c r="D111" s="102">
        <f ca="1">SUM(D96:D108)</f>
        <v>431209.3839152648</v>
      </c>
      <c r="E111" s="54">
        <f ca="1">SUM(E96:E108)</f>
        <v>580199.33503052953</v>
      </c>
      <c r="F111" s="54">
        <f ca="1">SUM(F96:F108)</f>
        <v>431203.49059809709</v>
      </c>
      <c r="G111" s="67"/>
      <c r="H111" s="67"/>
    </row>
    <row r="112" spans="1:8" ht="16.5">
      <c r="A112" s="257" t="s">
        <v>198</v>
      </c>
      <c r="B112" s="257"/>
      <c r="C112" s="42">
        <f ca="1">C111/Parametros!$H$53</f>
        <v>0.7839096217243412</v>
      </c>
      <c r="D112" s="42">
        <f ca="1">D111/Parametros!$I$53</f>
        <v>1.0780234597881619</v>
      </c>
      <c r="E112" s="43">
        <f ca="1">E111/Parametros!$H$54</f>
        <v>0.4532807304926012</v>
      </c>
      <c r="F112" s="43">
        <f ca="1">F111/Parametros!$I$54</f>
        <v>1.0780087264952427</v>
      </c>
      <c r="G112" s="67"/>
      <c r="H112" s="67"/>
    </row>
    <row r="113" spans="1:8" ht="16.5">
      <c r="A113" s="257" t="s">
        <v>199</v>
      </c>
      <c r="B113" s="257"/>
      <c r="C113" s="42"/>
      <c r="D113" s="42"/>
      <c r="E113" s="41"/>
      <c r="F113" s="43"/>
      <c r="G113" s="68"/>
      <c r="H113" s="68"/>
    </row>
    <row r="115" spans="1:8" ht="16.5">
      <c r="A115" s="257" t="s">
        <v>200</v>
      </c>
      <c r="B115" s="257"/>
      <c r="C115" s="102">
        <f ca="1">SUM(C96:C109)</f>
        <v>1059181.2312631567</v>
      </c>
      <c r="D115" s="102">
        <f ca="1">SUM(D96:D109)</f>
        <v>448639.66999526479</v>
      </c>
      <c r="E115" s="54">
        <f ca="1">SUM(E96:E109)</f>
        <v>581612.45503052953</v>
      </c>
      <c r="F115" s="54">
        <f ca="1">SUM(F96:F109)</f>
        <v>431645.09059809707</v>
      </c>
      <c r="G115" s="67"/>
      <c r="H115" s="67"/>
    </row>
    <row r="116" spans="1:8" ht="16.5">
      <c r="A116" s="257" t="s">
        <v>201</v>
      </c>
      <c r="B116" s="257"/>
      <c r="C116" s="42">
        <f ca="1">C115/Parametros!$H$53</f>
        <v>0.82748533692434123</v>
      </c>
      <c r="D116" s="42">
        <f ca="1">D115/Parametros!$I$53</f>
        <v>1.121599174988162</v>
      </c>
      <c r="E116" s="43">
        <f ca="1">E115/Parametros!$H$54</f>
        <v>0.4543847304926012</v>
      </c>
      <c r="F116" s="43">
        <f ca="1">F115/Parametros!$I$54</f>
        <v>1.0791127264952427</v>
      </c>
      <c r="G116" s="67"/>
      <c r="H116" s="67"/>
    </row>
    <row r="117" spans="1:8" ht="16.5">
      <c r="A117" s="257" t="s">
        <v>199</v>
      </c>
      <c r="B117" s="257"/>
      <c r="C117" s="42"/>
      <c r="D117" s="42"/>
      <c r="E117" s="41"/>
      <c r="F117" s="43"/>
      <c r="G117" s="68"/>
      <c r="H117" s="68"/>
    </row>
    <row r="119" spans="1:8">
      <c r="A119" s="258" t="s">
        <v>213</v>
      </c>
      <c r="B119" s="258"/>
      <c r="C119" s="258"/>
      <c r="D119" s="258"/>
      <c r="E119" s="258"/>
      <c r="F119" s="258"/>
      <c r="G119" s="66"/>
      <c r="H119" s="66"/>
    </row>
    <row r="120" spans="1:8">
      <c r="C120" s="37" t="s">
        <v>171</v>
      </c>
      <c r="D120" s="37" t="s">
        <v>90</v>
      </c>
      <c r="E120" s="37" t="s">
        <v>91</v>
      </c>
      <c r="F120" s="38" t="s">
        <v>172</v>
      </c>
      <c r="G120" s="38" t="s">
        <v>90</v>
      </c>
      <c r="H120" s="38" t="s">
        <v>91</v>
      </c>
    </row>
    <row r="121" spans="1:8" ht="14.25" thickBot="1">
      <c r="B121" s="27"/>
    </row>
    <row r="122" spans="1:8">
      <c r="A122" s="254" t="s">
        <v>182</v>
      </c>
      <c r="B122" s="28" t="s">
        <v>183</v>
      </c>
      <c r="C122" s="59">
        <f t="shared" ref="C122:C127" si="12">C36</f>
        <v>0.1875</v>
      </c>
      <c r="D122" s="59">
        <f>C96/Parametros!$H$53</f>
        <v>0.1171875</v>
      </c>
      <c r="E122" s="59">
        <f>D96/Parametros!$I$53</f>
        <v>0.375</v>
      </c>
      <c r="F122" s="84">
        <f t="shared" ref="F122:F127" si="13">D36</f>
        <v>0.375</v>
      </c>
      <c r="G122" s="84">
        <f>E96/Parametros!$H$54</f>
        <v>0.234375</v>
      </c>
      <c r="H122" s="84">
        <f>F96/Parametros!$I$54</f>
        <v>0.75</v>
      </c>
    </row>
    <row r="123" spans="1:8">
      <c r="A123" s="255"/>
      <c r="B123" s="30" t="s">
        <v>28</v>
      </c>
      <c r="C123" s="60">
        <f t="shared" si="12"/>
        <v>0</v>
      </c>
      <c r="D123" s="60">
        <f>C97/Parametros!$H$53</f>
        <v>0</v>
      </c>
      <c r="E123" s="60">
        <f>D97/Parametros!$I$53</f>
        <v>0</v>
      </c>
      <c r="F123" s="85">
        <f t="shared" si="13"/>
        <v>1.5125E-2</v>
      </c>
      <c r="G123" s="85">
        <f>E97/Parametros!$H$54</f>
        <v>6.6406249999999998E-3</v>
      </c>
      <c r="H123" s="85">
        <f>F97/Parametros!$I$54</f>
        <v>1.225E-2</v>
      </c>
    </row>
    <row r="124" spans="1:8">
      <c r="A124" s="255"/>
      <c r="B124" s="30" t="s">
        <v>184</v>
      </c>
      <c r="C124" s="60">
        <f t="shared" si="12"/>
        <v>0</v>
      </c>
      <c r="D124" s="60">
        <f>C98/Parametros!$H$53</f>
        <v>0</v>
      </c>
      <c r="E124" s="60">
        <f>D98/Parametros!$I$53</f>
        <v>0</v>
      </c>
      <c r="F124" s="85">
        <f t="shared" si="13"/>
        <v>2.5000000000000001E-3</v>
      </c>
      <c r="G124" s="85">
        <f>E98/Parametros!$H$54</f>
        <v>1.5625000000000001E-3</v>
      </c>
      <c r="H124" s="85">
        <f>F98/Parametros!$I$54</f>
        <v>5.0000000000000001E-3</v>
      </c>
    </row>
    <row r="125" spans="1:8">
      <c r="A125" s="255"/>
      <c r="B125" s="30" t="s">
        <v>185</v>
      </c>
      <c r="C125" s="60">
        <f t="shared" si="12"/>
        <v>0</v>
      </c>
      <c r="D125" s="60">
        <f>C99/Parametros!$H$53</f>
        <v>0</v>
      </c>
      <c r="E125" s="60">
        <f>D99/Parametros!$I$53</f>
        <v>0</v>
      </c>
      <c r="F125" s="85">
        <f t="shared" si="13"/>
        <v>9.3749999999999997E-3</v>
      </c>
      <c r="G125" s="85">
        <f>E99/Parametros!$H$54</f>
        <v>5.859375E-3</v>
      </c>
      <c r="H125" s="85">
        <f>F99/Parametros!$I$54</f>
        <v>1.8749999999999999E-2</v>
      </c>
    </row>
    <row r="126" spans="1:8">
      <c r="A126" s="256"/>
      <c r="B126" s="29" t="s">
        <v>186</v>
      </c>
      <c r="C126" s="61">
        <f t="shared" si="12"/>
        <v>0</v>
      </c>
      <c r="D126" s="61">
        <f>C100/Parametros!$H$53</f>
        <v>0</v>
      </c>
      <c r="E126" s="61">
        <f>D100/Parametros!$I$53</f>
        <v>0</v>
      </c>
      <c r="F126" s="86">
        <f t="shared" si="13"/>
        <v>2.2500000000000006E-2</v>
      </c>
      <c r="G126" s="86">
        <f>E100/Parametros!$H$54</f>
        <v>3.90625E-2</v>
      </c>
      <c r="H126" s="86">
        <f>F100/Parametros!$I$54</f>
        <v>3.7499999999999999E-2</v>
      </c>
    </row>
    <row r="127" spans="1:8">
      <c r="A127" s="254" t="s">
        <v>187</v>
      </c>
      <c r="B127" s="118" t="s">
        <v>156</v>
      </c>
      <c r="C127" s="62">
        <f t="shared" si="12"/>
        <v>9.3749999999999997E-3</v>
      </c>
      <c r="D127" s="62">
        <f>C101/Parametros!$H$53</f>
        <v>5.859375E-3</v>
      </c>
      <c r="E127" s="62">
        <f>D101/Parametros!$I$53</f>
        <v>1.8749999999999999E-2</v>
      </c>
      <c r="F127" s="87">
        <f t="shared" si="13"/>
        <v>1.8749999999999999E-2</v>
      </c>
      <c r="G127" s="87">
        <f>E101/Parametros!$H$54</f>
        <v>1.171875E-2</v>
      </c>
      <c r="H127" s="87">
        <f>F101/Parametros!$I$54</f>
        <v>3.7499999999999999E-2</v>
      </c>
    </row>
    <row r="128" spans="1:8">
      <c r="A128" s="255"/>
      <c r="B128" s="118" t="s">
        <v>157</v>
      </c>
      <c r="C128" s="60">
        <f t="shared" ref="C128:C130" si="14">C42</f>
        <v>0</v>
      </c>
      <c r="D128" s="60">
        <f>C102/Parametros!$H$53</f>
        <v>0</v>
      </c>
      <c r="E128" s="60">
        <f>D102/Parametros!$I$53</f>
        <v>0</v>
      </c>
      <c r="F128" s="85">
        <f t="shared" ref="F128:F130" si="15">D42</f>
        <v>0</v>
      </c>
      <c r="G128" s="85">
        <f>E102/Parametros!$H$54</f>
        <v>0</v>
      </c>
      <c r="H128" s="85">
        <f>F102/Parametros!$I$54</f>
        <v>0</v>
      </c>
    </row>
    <row r="129" spans="1:8">
      <c r="A129" s="255"/>
      <c r="B129" s="118" t="s">
        <v>158</v>
      </c>
      <c r="C129" s="60">
        <f t="shared" si="14"/>
        <v>0</v>
      </c>
      <c r="D129" s="60">
        <f>C103/Parametros!$H$53</f>
        <v>0</v>
      </c>
      <c r="E129" s="60">
        <f>D103/Parametros!$I$53</f>
        <v>0</v>
      </c>
      <c r="F129" s="85">
        <f t="shared" si="15"/>
        <v>0</v>
      </c>
      <c r="G129" s="85">
        <f>E103/Parametros!$H$54</f>
        <v>0</v>
      </c>
      <c r="H129" s="85">
        <f>F103/Parametros!$I$54</f>
        <v>0</v>
      </c>
    </row>
    <row r="130" spans="1:8">
      <c r="A130" s="255"/>
      <c r="B130" s="118" t="s">
        <v>159</v>
      </c>
      <c r="C130" s="60">
        <f t="shared" si="14"/>
        <v>0</v>
      </c>
      <c r="D130" s="60">
        <f>C104/Parametros!$H$53</f>
        <v>0</v>
      </c>
      <c r="E130" s="60">
        <f>D104/Parametros!$I$53</f>
        <v>0</v>
      </c>
      <c r="F130" s="85">
        <f t="shared" si="15"/>
        <v>0</v>
      </c>
      <c r="G130" s="85">
        <f>E104/Parametros!$H$54</f>
        <v>0</v>
      </c>
      <c r="H130" s="85">
        <f>F104/Parametros!$I$54</f>
        <v>0</v>
      </c>
    </row>
    <row r="131" spans="1:8">
      <c r="A131" s="256"/>
      <c r="B131" s="29" t="s">
        <v>210</v>
      </c>
      <c r="C131" s="61">
        <f>C45</f>
        <v>1.70259731373242E-2</v>
      </c>
      <c r="D131" s="61">
        <f>C105/Parametros!$H$53</f>
        <v>1.0641233210827624E-2</v>
      </c>
      <c r="E131" s="61">
        <f>D105/Parametros!$I$53</f>
        <v>3.4051946274648401E-2</v>
      </c>
      <c r="F131" s="86">
        <f>D45</f>
        <v>3.4051946274648401E-2</v>
      </c>
      <c r="G131" s="86">
        <f>E105/Parametros!$H$54</f>
        <v>2.1282466421655249E-2</v>
      </c>
      <c r="H131" s="86">
        <f>F105/Parametros!$I$54</f>
        <v>6.8103892549296802E-2</v>
      </c>
    </row>
    <row r="132" spans="1:8">
      <c r="A132" s="254" t="s">
        <v>189</v>
      </c>
      <c r="B132" s="30" t="s">
        <v>190</v>
      </c>
      <c r="C132" s="60">
        <f>C46</f>
        <v>0.15351351351351353</v>
      </c>
      <c r="D132" s="60">
        <f>C106/Parametros!$H$53</f>
        <v>0.15351351351351353</v>
      </c>
      <c r="E132" s="60">
        <f>D106/Parametros!$I$53</f>
        <v>0.15351351351351353</v>
      </c>
      <c r="F132" s="85">
        <f>D46</f>
        <v>4.9945945945945952E-2</v>
      </c>
      <c r="G132" s="85">
        <f>E106/Parametros!$H$54</f>
        <v>4.9945945945945952E-2</v>
      </c>
      <c r="H132" s="85">
        <f>F106/Parametros!$I$54</f>
        <v>4.9945945945945952E-2</v>
      </c>
    </row>
    <row r="133" spans="1:8">
      <c r="A133" s="255"/>
      <c r="B133" s="30" t="s">
        <v>191</v>
      </c>
      <c r="C133" s="60">
        <f>C47</f>
        <v>0</v>
      </c>
      <c r="D133" s="60">
        <f>C107/Parametros!$H$53</f>
        <v>0</v>
      </c>
      <c r="E133" s="60">
        <f>D107/Parametros!$I$53</f>
        <v>0</v>
      </c>
      <c r="F133" s="85">
        <f>D47</f>
        <v>8.6400000000000001E-3</v>
      </c>
      <c r="G133" s="85">
        <f>E107/Parametros!$H$54</f>
        <v>5.4000000000000003E-3</v>
      </c>
      <c r="H133" s="85">
        <f>F107/Parametros!$I$54</f>
        <v>1.728E-2</v>
      </c>
    </row>
    <row r="134" spans="1:8" ht="14.25" thickBot="1">
      <c r="A134" s="256"/>
      <c r="B134" s="29" t="s">
        <v>192</v>
      </c>
      <c r="C134" s="63">
        <f ca="1">C48</f>
        <v>0.49670800000000009</v>
      </c>
      <c r="D134" s="63">
        <f ca="1">C108/Parametros!$H$53</f>
        <v>0.49670800000000009</v>
      </c>
      <c r="E134" s="63">
        <f ca="1">D108/Parametros!$I$53</f>
        <v>0.49670800000000009</v>
      </c>
      <c r="F134" s="88">
        <f ca="1">D48</f>
        <v>7.9513944000000017E-2</v>
      </c>
      <c r="G134" s="88">
        <f ca="1">E108/Parametros!$H$54</f>
        <v>7.7433568124999991E-2</v>
      </c>
      <c r="H134" s="88">
        <f ca="1">F108/Parametros!$I$54</f>
        <v>8.1678888000000005E-2</v>
      </c>
    </row>
    <row r="135" spans="1:8">
      <c r="A135" s="74" t="s">
        <v>195</v>
      </c>
      <c r="B135" s="75" t="s">
        <v>196</v>
      </c>
      <c r="C135" s="60">
        <f>C49</f>
        <v>4.3575715199999997E-2</v>
      </c>
      <c r="D135" s="60">
        <f>C109/Parametros!$H$53</f>
        <v>4.3575715199999997E-2</v>
      </c>
      <c r="E135" s="60">
        <f>D109/Parametros!$I$53</f>
        <v>4.3575715199999997E-2</v>
      </c>
      <c r="F135" s="85">
        <f>D49</f>
        <v>1.1040000000000004E-3</v>
      </c>
      <c r="G135" s="85">
        <f>E109/Parametros!$H$54</f>
        <v>1.1040000000000002E-3</v>
      </c>
      <c r="H135" s="85">
        <f>F109/Parametros!$I$54</f>
        <v>1.1040000000000004E-3</v>
      </c>
    </row>
    <row r="136" spans="1:8">
      <c r="B136" s="89" t="s">
        <v>214</v>
      </c>
      <c r="C136" s="90">
        <f t="shared" ref="C136:H136" ca="1" si="16">SUM(C122:C135)</f>
        <v>0.90769820185083794</v>
      </c>
      <c r="D136" s="90">
        <f t="shared" ca="1" si="16"/>
        <v>0.82748533692434134</v>
      </c>
      <c r="E136" s="90">
        <f t="shared" ca="1" si="16"/>
        <v>1.121599174988162</v>
      </c>
      <c r="F136" s="90">
        <f t="shared" ca="1" si="16"/>
        <v>0.61650583622059441</v>
      </c>
      <c r="G136" s="90">
        <f t="shared" ca="1" si="16"/>
        <v>0.4543847304926012</v>
      </c>
      <c r="H136" s="90">
        <f t="shared" ca="1" si="16"/>
        <v>1.0791127264952427</v>
      </c>
    </row>
    <row r="138" spans="1:8">
      <c r="B138" s="4" t="s">
        <v>95</v>
      </c>
      <c r="C138" s="4" t="s">
        <v>9</v>
      </c>
      <c r="D138" s="4" t="s">
        <v>215</v>
      </c>
    </row>
    <row r="139" spans="1:8">
      <c r="B139" s="91">
        <f>Parametros!I52</f>
        <v>25000</v>
      </c>
      <c r="C139" s="90">
        <f ca="1">E136</f>
        <v>1.121599174988162</v>
      </c>
      <c r="D139" s="90">
        <f ca="1">H136</f>
        <v>1.0791127264952427</v>
      </c>
    </row>
    <row r="140" spans="1:8">
      <c r="A140" s="90">
        <f ca="1">C140-D140</f>
        <v>0.29119236563024353</v>
      </c>
      <c r="B140" s="91">
        <f>Parametros!C52</f>
        <v>50000</v>
      </c>
      <c r="C140" s="110">
        <f ca="1">C136</f>
        <v>0.90769820185083794</v>
      </c>
      <c r="D140" s="110">
        <f ca="1">F136</f>
        <v>0.61650583622059441</v>
      </c>
    </row>
    <row r="141" spans="1:8">
      <c r="B141" s="91">
        <f>Parametros!H52</f>
        <v>80000</v>
      </c>
      <c r="C141" s="90">
        <f ca="1">D136</f>
        <v>0.82748533692434134</v>
      </c>
      <c r="D141" s="90">
        <f ca="1">G136</f>
        <v>0.4543847304926012</v>
      </c>
    </row>
    <row r="146" spans="10:11">
      <c r="J146" s="65"/>
      <c r="K146" s="65"/>
    </row>
    <row r="147" spans="10:11">
      <c r="J147" s="65"/>
      <c r="K147" s="65"/>
    </row>
    <row r="148" spans="10:11">
      <c r="J148" s="65"/>
      <c r="K148" s="65"/>
    </row>
    <row r="150" spans="10:11" ht="16.5">
      <c r="J150" s="67"/>
      <c r="K150" s="67"/>
    </row>
    <row r="151" spans="10:11" ht="16.5">
      <c r="J151" s="67"/>
      <c r="K151" s="67"/>
    </row>
    <row r="171" spans="3:10" ht="15" customHeight="1">
      <c r="C171" s="263" t="s">
        <v>216</v>
      </c>
      <c r="D171" s="263" t="s">
        <v>217</v>
      </c>
      <c r="E171" s="264" t="s">
        <v>12</v>
      </c>
      <c r="F171" s="265"/>
      <c r="G171" s="263" t="s">
        <v>13</v>
      </c>
      <c r="H171" s="263"/>
      <c r="I171" s="263"/>
      <c r="J171" s="263"/>
    </row>
    <row r="172" spans="3:10" ht="15" customHeight="1">
      <c r="C172" s="263"/>
      <c r="D172" s="263"/>
      <c r="E172" s="266"/>
      <c r="F172" s="267"/>
      <c r="G172" s="263" t="s">
        <v>218</v>
      </c>
      <c r="H172" s="263"/>
      <c r="I172" s="263" t="s">
        <v>219</v>
      </c>
      <c r="J172" s="263"/>
    </row>
    <row r="173" spans="3:10" ht="15">
      <c r="C173" s="263"/>
      <c r="D173" s="263"/>
      <c r="E173" s="120" t="s">
        <v>19</v>
      </c>
      <c r="F173" s="120" t="s">
        <v>34</v>
      </c>
      <c r="G173" s="120" t="s">
        <v>19</v>
      </c>
      <c r="H173" s="120" t="s">
        <v>34</v>
      </c>
      <c r="I173" s="120" t="s">
        <v>19</v>
      </c>
      <c r="J173" s="120" t="s">
        <v>34</v>
      </c>
    </row>
    <row r="174" spans="3:10" ht="17.25">
      <c r="C174" s="121" t="s">
        <v>220</v>
      </c>
      <c r="D174" s="121">
        <f>Parametros!$I$52</f>
        <v>25000</v>
      </c>
      <c r="E174" s="122">
        <f ca="1">F174*$D$174*Parametros!$C$8</f>
        <v>448639.66999526479</v>
      </c>
      <c r="F174" s="123">
        <f ca="1">C139</f>
        <v>1.121599174988162</v>
      </c>
      <c r="G174" s="122">
        <f ca="1">H174*$D$174*Parametros!$C$17</f>
        <v>431645.09059809707</v>
      </c>
      <c r="H174" s="124">
        <f ca="1">D139</f>
        <v>1.0791127264952427</v>
      </c>
      <c r="I174" s="122">
        <f ca="1">G174-(Parametros!$C$42-Parametros!$C$7)</f>
        <v>281645.09059809707</v>
      </c>
      <c r="J174" s="123">
        <f ca="1">I174/(Parametros!$I$54)</f>
        <v>0.7041127264952427</v>
      </c>
    </row>
    <row r="175" spans="3:10" ht="17.25">
      <c r="C175" s="125" t="s">
        <v>221</v>
      </c>
      <c r="D175" s="125">
        <f>Parametros!$C$52</f>
        <v>50000</v>
      </c>
      <c r="E175" s="126">
        <f ca="1">F175*$D$175*Parametros!$C$8</f>
        <v>726158.56148067035</v>
      </c>
      <c r="F175" s="127">
        <f ca="1">C140</f>
        <v>0.90769820185083794</v>
      </c>
      <c r="G175" s="126">
        <f ca="1">H175*$D$175*Parametros!$C$17</f>
        <v>493204.66897647554</v>
      </c>
      <c r="H175" s="128">
        <f ca="1">D140</f>
        <v>0.61650583622059441</v>
      </c>
      <c r="I175" s="126">
        <f ca="1">G175-(Parametros!$C$42-Parametros!$C$7)</f>
        <v>343204.66897647554</v>
      </c>
      <c r="J175" s="127">
        <f ca="1">I175/(Parametros!$C$54)</f>
        <v>0.42900583622059441</v>
      </c>
    </row>
    <row r="176" spans="3:10" ht="17.25">
      <c r="C176" s="129" t="s">
        <v>222</v>
      </c>
      <c r="D176" s="129">
        <f>Parametros!$H$52</f>
        <v>80000</v>
      </c>
      <c r="E176" s="130">
        <f ca="1">F176*$D$176*Parametros!$C$8</f>
        <v>1059181.231263157</v>
      </c>
      <c r="F176" s="131">
        <f ca="1">C141</f>
        <v>0.82748533692434134</v>
      </c>
      <c r="G176" s="130">
        <f ca="1">H176*$D$176*Parametros!$C$17</f>
        <v>581612.45503052953</v>
      </c>
      <c r="H176" s="132">
        <f ca="1">D141</f>
        <v>0.4543847304926012</v>
      </c>
      <c r="I176" s="130">
        <f ca="1">G176-(Parametros!$C$42-Parametros!$C$7)</f>
        <v>431612.45503052953</v>
      </c>
      <c r="J176" s="131">
        <f ca="1">I176/(Parametros!$H$54)</f>
        <v>0.3371972304926012</v>
      </c>
    </row>
    <row r="189" ht="15" customHeight="1"/>
  </sheetData>
  <mergeCells count="36">
    <mergeCell ref="C171:C173"/>
    <mergeCell ref="D171:D173"/>
    <mergeCell ref="G171:J171"/>
    <mergeCell ref="I172:J172"/>
    <mergeCell ref="E171:F172"/>
    <mergeCell ref="G172:H172"/>
    <mergeCell ref="A33:F33"/>
    <mergeCell ref="A30:B30"/>
    <mergeCell ref="A111:B111"/>
    <mergeCell ref="A112:B112"/>
    <mergeCell ref="A46:A47"/>
    <mergeCell ref="A41:A45"/>
    <mergeCell ref="A36:A40"/>
    <mergeCell ref="A1:F1"/>
    <mergeCell ref="A8:A12"/>
    <mergeCell ref="A13:A15"/>
    <mergeCell ref="A116:B116"/>
    <mergeCell ref="A93:F93"/>
    <mergeCell ref="A96:A100"/>
    <mergeCell ref="A106:A108"/>
    <mergeCell ref="A101:A105"/>
    <mergeCell ref="A27:B27"/>
    <mergeCell ref="A3:A7"/>
    <mergeCell ref="A21:B21"/>
    <mergeCell ref="A22:B22"/>
    <mergeCell ref="A23:B23"/>
    <mergeCell ref="A25:B25"/>
    <mergeCell ref="A26:B26"/>
    <mergeCell ref="A29:B29"/>
    <mergeCell ref="A127:A131"/>
    <mergeCell ref="A132:A134"/>
    <mergeCell ref="A117:B117"/>
    <mergeCell ref="A113:B113"/>
    <mergeCell ref="A119:F119"/>
    <mergeCell ref="A122:A126"/>
    <mergeCell ref="A115:B11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850F-CDC2-42B6-A762-B427823D6AEB}">
  <dimension ref="A1:AU87"/>
  <sheetViews>
    <sheetView zoomScaleNormal="100" workbookViewId="0">
      <selection sqref="A1:B1"/>
    </sheetView>
  </sheetViews>
  <sheetFormatPr defaultColWidth="0" defaultRowHeight="14.45" customHeight="1" zeroHeight="1"/>
  <cols>
    <col min="1" max="1" width="13.28515625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>
      <c r="A1" s="268" t="s">
        <v>223</v>
      </c>
      <c r="B1" s="268"/>
      <c r="C1" s="175"/>
      <c r="D1" s="176"/>
      <c r="E1" s="175"/>
      <c r="F1" s="175"/>
      <c r="G1" s="177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8.75">
      <c r="A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6" ht="15">
      <c r="A3" s="269" t="s">
        <v>224</v>
      </c>
      <c r="B3" s="269"/>
      <c r="C3" s="200">
        <v>0</v>
      </c>
    </row>
    <row r="4" spans="1:36" ht="15">
      <c r="A4" s="272" t="s">
        <v>225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180"/>
    </row>
    <row r="5" spans="1:36" ht="15">
      <c r="A5" s="57"/>
      <c r="E5" s="181">
        <v>0</v>
      </c>
      <c r="F5" s="181">
        <v>1</v>
      </c>
      <c r="G5" s="181">
        <v>2</v>
      </c>
      <c r="H5" s="181">
        <v>3</v>
      </c>
      <c r="I5" s="181">
        <v>4</v>
      </c>
      <c r="J5" s="181">
        <v>5</v>
      </c>
      <c r="K5" s="181">
        <v>6</v>
      </c>
      <c r="L5" s="181">
        <v>7</v>
      </c>
      <c r="M5" s="181">
        <v>8</v>
      </c>
      <c r="N5" s="181">
        <v>9</v>
      </c>
      <c r="O5" s="181">
        <v>10</v>
      </c>
      <c r="P5" s="181">
        <v>11</v>
      </c>
      <c r="Q5" s="181">
        <v>12</v>
      </c>
      <c r="R5" s="181">
        <v>13</v>
      </c>
      <c r="S5" s="181">
        <v>14</v>
      </c>
      <c r="T5" s="181">
        <v>15</v>
      </c>
      <c r="U5" s="181">
        <v>16</v>
      </c>
      <c r="V5" s="181">
        <v>17</v>
      </c>
      <c r="W5" s="181">
        <v>18</v>
      </c>
      <c r="X5" s="181">
        <v>19</v>
      </c>
      <c r="Y5" s="181">
        <v>20</v>
      </c>
      <c r="Z5" s="181">
        <v>21</v>
      </c>
      <c r="AA5" s="181">
        <v>22</v>
      </c>
      <c r="AB5" s="181">
        <v>23</v>
      </c>
      <c r="AC5" s="181">
        <v>24</v>
      </c>
      <c r="AD5" s="181">
        <v>25</v>
      </c>
      <c r="AE5" s="181">
        <v>26</v>
      </c>
      <c r="AF5" s="181">
        <v>27</v>
      </c>
      <c r="AG5" s="181">
        <v>28</v>
      </c>
      <c r="AJ5" s="184"/>
    </row>
    <row r="6" spans="1:36" ht="15">
      <c r="A6" s="271" t="s">
        <v>226</v>
      </c>
      <c r="B6" s="271"/>
      <c r="C6" s="180" t="s">
        <v>19</v>
      </c>
      <c r="E6" s="182">
        <v>2022</v>
      </c>
      <c r="F6" s="182">
        <f>+E6+1</f>
        <v>2023</v>
      </c>
      <c r="G6" s="183">
        <f t="shared" ref="G6" si="0">+F6+1</f>
        <v>2024</v>
      </c>
      <c r="H6" s="183">
        <f t="shared" ref="H6" si="1">+G6+1</f>
        <v>2025</v>
      </c>
      <c r="I6" s="183">
        <f t="shared" ref="I6" si="2">+H6+1</f>
        <v>2026</v>
      </c>
      <c r="J6" s="183">
        <f t="shared" ref="J6" si="3">+I6+1</f>
        <v>2027</v>
      </c>
      <c r="K6" s="183">
        <f t="shared" ref="K6" si="4">+J6+1</f>
        <v>2028</v>
      </c>
      <c r="L6" s="183">
        <f t="shared" ref="L6" si="5">+K6+1</f>
        <v>2029</v>
      </c>
      <c r="M6" s="183">
        <f t="shared" ref="M6" si="6">+L6+1</f>
        <v>2030</v>
      </c>
      <c r="N6" s="183">
        <f t="shared" ref="N6" si="7">+M6+1</f>
        <v>2031</v>
      </c>
      <c r="O6" s="183">
        <f t="shared" ref="O6" si="8">+N6+1</f>
        <v>2032</v>
      </c>
      <c r="P6" s="183">
        <f t="shared" ref="P6" si="9">+O6+1</f>
        <v>2033</v>
      </c>
      <c r="Q6" s="183">
        <f t="shared" ref="Q6" si="10">+P6+1</f>
        <v>2034</v>
      </c>
      <c r="R6" s="183">
        <f t="shared" ref="R6" si="11">+Q6+1</f>
        <v>2035</v>
      </c>
      <c r="S6" s="183">
        <f t="shared" ref="S6" si="12">+R6+1</f>
        <v>2036</v>
      </c>
      <c r="T6" s="183">
        <f t="shared" ref="T6" si="13">+S6+1</f>
        <v>2037</v>
      </c>
      <c r="U6" s="183">
        <f t="shared" ref="U6" si="14">+T6+1</f>
        <v>2038</v>
      </c>
      <c r="V6" s="183">
        <f t="shared" ref="V6" si="15">+U6+1</f>
        <v>2039</v>
      </c>
      <c r="W6" s="183">
        <f t="shared" ref="W6" si="16">+V6+1</f>
        <v>2040</v>
      </c>
      <c r="X6" s="183">
        <f t="shared" ref="X6" si="17">+W6+1</f>
        <v>2041</v>
      </c>
      <c r="Y6" s="183">
        <f t="shared" ref="Y6" si="18">+X6+1</f>
        <v>2042</v>
      </c>
      <c r="Z6" s="183">
        <f t="shared" ref="Z6" si="19">+Y6+1</f>
        <v>2043</v>
      </c>
      <c r="AA6" s="183">
        <f t="shared" ref="AA6" si="20">+Z6+1</f>
        <v>2044</v>
      </c>
      <c r="AB6" s="183">
        <f t="shared" ref="AB6" si="21">+AA6+1</f>
        <v>2045</v>
      </c>
      <c r="AC6" s="183">
        <f t="shared" ref="AC6" si="22">+AB6+1</f>
        <v>2046</v>
      </c>
      <c r="AD6" s="183">
        <f t="shared" ref="AD6" si="23">+AC6+1</f>
        <v>2047</v>
      </c>
      <c r="AE6" s="183">
        <f t="shared" ref="AE6" si="24">+AD6+1</f>
        <v>2048</v>
      </c>
      <c r="AF6" s="183">
        <f t="shared" ref="AF6" si="25">+AE6+1</f>
        <v>2049</v>
      </c>
      <c r="AG6" s="183">
        <f t="shared" ref="AG6" si="26">+AF6+1</f>
        <v>2050</v>
      </c>
      <c r="AI6" s="183" t="s">
        <v>227</v>
      </c>
      <c r="AJ6" s="184"/>
    </row>
    <row r="7" spans="1:36" ht="15">
      <c r="A7" s="254" t="s">
        <v>182</v>
      </c>
      <c r="B7" s="28" t="s">
        <v>183</v>
      </c>
      <c r="C7" s="185"/>
      <c r="E7" s="191">
        <f>CTP!$C$3</f>
        <v>150000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0</v>
      </c>
      <c r="U7" s="192">
        <v>0</v>
      </c>
      <c r="V7" s="192">
        <v>0</v>
      </c>
      <c r="W7" s="192">
        <v>0</v>
      </c>
      <c r="X7" s="192">
        <v>0</v>
      </c>
      <c r="Y7" s="192">
        <v>0</v>
      </c>
      <c r="Z7" s="192">
        <v>0</v>
      </c>
      <c r="AA7" s="192">
        <v>0</v>
      </c>
      <c r="AB7" s="192">
        <v>0</v>
      </c>
      <c r="AC7" s="192">
        <v>0</v>
      </c>
      <c r="AD7" s="192">
        <v>0</v>
      </c>
      <c r="AE7" s="192">
        <v>0</v>
      </c>
      <c r="AF7" s="192">
        <v>0</v>
      </c>
      <c r="AG7" s="193">
        <v>0</v>
      </c>
      <c r="AH7" s="184"/>
      <c r="AI7" s="214">
        <f>+SUM(E7:AG7)</f>
        <v>150000</v>
      </c>
      <c r="AJ7" s="184"/>
    </row>
    <row r="8" spans="1:36" ht="15">
      <c r="A8" s="255"/>
      <c r="B8" s="30" t="s">
        <v>28</v>
      </c>
      <c r="C8" s="185"/>
      <c r="E8" s="194">
        <f>CTP!$C$4</f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5">
        <v>0</v>
      </c>
      <c r="AA8" s="195">
        <v>0</v>
      </c>
      <c r="AB8" s="195">
        <v>0</v>
      </c>
      <c r="AC8" s="195">
        <v>0</v>
      </c>
      <c r="AD8" s="195">
        <v>0</v>
      </c>
      <c r="AE8" s="195">
        <v>0</v>
      </c>
      <c r="AF8" s="195">
        <v>0</v>
      </c>
      <c r="AG8" s="196">
        <v>0</v>
      </c>
      <c r="AH8" s="184"/>
      <c r="AI8" s="215">
        <f t="shared" ref="AI8:AI16" si="27">+SUM(E8:AG8)</f>
        <v>0</v>
      </c>
      <c r="AJ8" s="184"/>
    </row>
    <row r="9" spans="1:36" ht="15">
      <c r="A9" s="255"/>
      <c r="B9" s="30" t="s">
        <v>184</v>
      </c>
      <c r="C9" s="185"/>
      <c r="E9" s="194">
        <f>CTP!$C$5</f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5">
        <v>0</v>
      </c>
      <c r="AC9" s="195">
        <v>0</v>
      </c>
      <c r="AD9" s="195">
        <v>0</v>
      </c>
      <c r="AE9" s="195">
        <v>0</v>
      </c>
      <c r="AF9" s="195">
        <v>0</v>
      </c>
      <c r="AG9" s="196">
        <v>0</v>
      </c>
      <c r="AH9" s="184"/>
      <c r="AI9" s="215">
        <f t="shared" si="27"/>
        <v>0</v>
      </c>
      <c r="AJ9" s="184"/>
    </row>
    <row r="10" spans="1:36" ht="15">
      <c r="A10" s="255"/>
      <c r="B10" s="30" t="s">
        <v>185</v>
      </c>
      <c r="C10" s="185"/>
      <c r="E10" s="194">
        <f>CTP!$C$6</f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195">
        <v>0</v>
      </c>
      <c r="AE10" s="195">
        <v>0</v>
      </c>
      <c r="AF10" s="195">
        <v>0</v>
      </c>
      <c r="AG10" s="196">
        <v>0</v>
      </c>
      <c r="AH10" s="184"/>
      <c r="AI10" s="215">
        <f t="shared" si="27"/>
        <v>0</v>
      </c>
      <c r="AJ10" s="184"/>
    </row>
    <row r="11" spans="1:36" ht="15">
      <c r="A11" s="256"/>
      <c r="B11" s="29" t="s">
        <v>186</v>
      </c>
      <c r="C11" s="185"/>
      <c r="E11" s="197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f>CTP!$C$7</f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9">
        <v>0</v>
      </c>
      <c r="AH11" s="184"/>
      <c r="AI11" s="216">
        <f t="shared" si="27"/>
        <v>0</v>
      </c>
      <c r="AJ11" s="184"/>
    </row>
    <row r="12" spans="1:36" ht="15">
      <c r="A12" s="254" t="s">
        <v>187</v>
      </c>
      <c r="B12" s="118" t="s">
        <v>156</v>
      </c>
      <c r="C12" s="185"/>
      <c r="E12" s="191">
        <f>CTP!$C$8</f>
        <v>7500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3">
        <v>0</v>
      </c>
      <c r="AH12" s="184"/>
      <c r="AI12" s="214">
        <f t="shared" si="27"/>
        <v>7500</v>
      </c>
      <c r="AJ12" s="184"/>
    </row>
    <row r="13" spans="1:36" ht="15">
      <c r="A13" s="255"/>
      <c r="B13" s="118" t="s">
        <v>157</v>
      </c>
      <c r="C13" s="185"/>
      <c r="E13" s="194">
        <f>CTP!$C$9</f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5">
        <v>0</v>
      </c>
      <c r="AE13" s="195">
        <v>0</v>
      </c>
      <c r="AF13" s="195">
        <v>0</v>
      </c>
      <c r="AG13" s="196">
        <v>0</v>
      </c>
      <c r="AH13" s="184"/>
      <c r="AI13" s="215">
        <f t="shared" si="27"/>
        <v>0</v>
      </c>
      <c r="AJ13" s="184"/>
    </row>
    <row r="14" spans="1:36" ht="15">
      <c r="A14" s="255"/>
      <c r="B14" s="118" t="s">
        <v>158</v>
      </c>
      <c r="C14" s="185"/>
      <c r="E14" s="194">
        <f>CTP!$C$10</f>
        <v>0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v>0</v>
      </c>
      <c r="AD14" s="195">
        <v>0</v>
      </c>
      <c r="AE14" s="195">
        <v>0</v>
      </c>
      <c r="AF14" s="195">
        <v>0</v>
      </c>
      <c r="AG14" s="196">
        <v>0</v>
      </c>
      <c r="AH14" s="184"/>
      <c r="AI14" s="215">
        <f t="shared" si="27"/>
        <v>0</v>
      </c>
      <c r="AJ14" s="184"/>
    </row>
    <row r="15" spans="1:36" ht="15">
      <c r="A15" s="255"/>
      <c r="B15" s="118" t="s">
        <v>159</v>
      </c>
      <c r="C15" s="185"/>
      <c r="E15" s="194">
        <f>CTP!$C$11</f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195">
        <v>0</v>
      </c>
      <c r="AE15" s="195">
        <v>0</v>
      </c>
      <c r="AF15" s="195">
        <v>0</v>
      </c>
      <c r="AG15" s="196">
        <v>0</v>
      </c>
      <c r="AH15" s="184"/>
      <c r="AI15" s="215">
        <f t="shared" si="27"/>
        <v>0</v>
      </c>
      <c r="AJ15" s="184"/>
    </row>
    <row r="16" spans="1:36" ht="15">
      <c r="A16" s="256"/>
      <c r="B16" s="29" t="s">
        <v>188</v>
      </c>
      <c r="C16" s="185"/>
      <c r="E16" s="197">
        <f>-IPMT(Parametros!$C$76,1,Parametros!$C$75,SUM(CTP!$C$3,CTP!$C$8:$C$11)*Parametros!$C$74)</f>
        <v>3307.5</v>
      </c>
      <c r="F16" s="198">
        <f>-IPMT(Parametros!$C$76,2,Parametros!$C$75,SUM(CTP!$C$3,CTP!$C$8:$C$11)*Parametros!$C$74)</f>
        <v>2875.8502349577448</v>
      </c>
      <c r="G16" s="198">
        <f>-IPMT(Parametros!$C$76,3,Parametros!$C$75,SUM(CTP!$C$3,CTP!$C$8:$C$11)*Parametros!$C$74)</f>
        <v>2431.2509769642224</v>
      </c>
      <c r="H16" s="198">
        <f>-IPMT(Parametros!$C$76,4,Parametros!$C$75,SUM(CTP!$C$3,CTP!$C$8:$C$11)*Parametros!$C$74)</f>
        <v>1973.3137412308947</v>
      </c>
      <c r="I16" s="198">
        <f>-IPMT(Parametros!$C$76,5,Parametros!$C$75,SUM(CTP!$C$3,CTP!$C$8:$C$11)*Parametros!$C$74)</f>
        <v>1501.638388425567</v>
      </c>
      <c r="J16" s="198">
        <f>-IPMT(Parametros!$C$76,6,Parametros!$C$75,SUM(CTP!$C$3,CTP!$C$8:$C$11)*Parametros!$C$74)</f>
        <v>1015.8127750360795</v>
      </c>
      <c r="K16" s="198">
        <f>-IPMT(Parametros!$C$76,7,Parametros!$C$75,SUM(CTP!$C$3,CTP!$C$8:$C$11)*Parametros!$C$74)</f>
        <v>515.41239324490732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0</v>
      </c>
      <c r="AE16" s="195">
        <v>0</v>
      </c>
      <c r="AF16" s="195">
        <v>0</v>
      </c>
      <c r="AG16" s="196">
        <v>0</v>
      </c>
      <c r="AH16" s="184"/>
      <c r="AI16" s="216">
        <f t="shared" si="27"/>
        <v>13620.778509859416</v>
      </c>
      <c r="AJ16" s="184"/>
    </row>
    <row r="17" spans="1:36" ht="15">
      <c r="A17" s="254" t="s">
        <v>189</v>
      </c>
      <c r="B17" s="30" t="s">
        <v>190</v>
      </c>
      <c r="C17" s="185"/>
      <c r="E17" s="191">
        <f>(SUM(Parametros!$C$10:$C$12)*Parametros!$C$52)</f>
        <v>7675.6756756756768</v>
      </c>
      <c r="F17" s="192">
        <f>(SUM(Parametros!$C$10:$C$12)*Parametros!$C$52)</f>
        <v>7675.6756756756768</v>
      </c>
      <c r="G17" s="192">
        <f>(SUM(Parametros!$C$10:$C$12)*Parametros!$C$52)</f>
        <v>7675.6756756756768</v>
      </c>
      <c r="H17" s="192">
        <f>(SUM(Parametros!$C$10:$C$12)*Parametros!$C$52)</f>
        <v>7675.6756756756768</v>
      </c>
      <c r="I17" s="192">
        <f>(SUM(Parametros!$C$10:$C$12)*Parametros!$C$52)</f>
        <v>7675.6756756756768</v>
      </c>
      <c r="J17" s="192">
        <f>(SUM(Parametros!$C$10:$C$12)*Parametros!$C$52)</f>
        <v>7675.6756756756768</v>
      </c>
      <c r="K17" s="192">
        <f>(SUM(Parametros!$C$10:$C$12)*Parametros!$C$52)</f>
        <v>7675.6756756756768</v>
      </c>
      <c r="L17" s="192">
        <f>(SUM(Parametros!$C$10:$C$12)*Parametros!$C$52)</f>
        <v>7675.6756756756768</v>
      </c>
      <c r="M17" s="192">
        <f>(SUM(Parametros!$C$10:$C$12)*Parametros!$C$52)</f>
        <v>7675.6756756756768</v>
      </c>
      <c r="N17" s="192">
        <f>(SUM(Parametros!$C$10:$C$12)*Parametros!$C$52)</f>
        <v>7675.6756756756768</v>
      </c>
      <c r="O17" s="192">
        <f>(SUM(Parametros!$C$10:$C$12)*Parametros!$C$52)</f>
        <v>7675.6756756756768</v>
      </c>
      <c r="P17" s="192">
        <f>(SUM(Parametros!$C$10:$C$12)*Parametros!$C$52)</f>
        <v>7675.6756756756768</v>
      </c>
      <c r="Q17" s="192">
        <f>(SUM(Parametros!$C$10:$C$12)*Parametros!$C$52)</f>
        <v>7675.6756756756768</v>
      </c>
      <c r="R17" s="192">
        <f>(SUM(Parametros!$C$10:$C$12)*Parametros!$C$52)</f>
        <v>7675.6756756756768</v>
      </c>
      <c r="S17" s="192">
        <f>(SUM(Parametros!$C$10:$C$12)*Parametros!$C$52)</f>
        <v>7675.6756756756768</v>
      </c>
      <c r="T17" s="192">
        <f>(SUM(Parametros!$C$10:$C$12)*Parametros!$C$52)</f>
        <v>7675.6756756756768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192">
        <v>0</v>
      </c>
      <c r="AE17" s="192">
        <v>0</v>
      </c>
      <c r="AF17" s="192">
        <v>0</v>
      </c>
      <c r="AG17" s="193">
        <v>0</v>
      </c>
      <c r="AH17" s="184"/>
      <c r="AI17" s="214">
        <f>+SUM(E17:AG17)</f>
        <v>122810.81081081087</v>
      </c>
      <c r="AJ17" s="184"/>
    </row>
    <row r="18" spans="1:36" ht="15">
      <c r="A18" s="255"/>
      <c r="B18" s="30" t="s">
        <v>191</v>
      </c>
      <c r="C18" s="185"/>
      <c r="E18" s="194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v>0</v>
      </c>
      <c r="AD18" s="195">
        <v>0</v>
      </c>
      <c r="AE18" s="195">
        <v>0</v>
      </c>
      <c r="AF18" s="195">
        <v>0</v>
      </c>
      <c r="AG18" s="196">
        <v>0</v>
      </c>
      <c r="AH18" s="184"/>
      <c r="AI18" s="215">
        <f t="shared" ref="AI18:AI20" si="28">+SUM(E18:AG18)</f>
        <v>0</v>
      </c>
      <c r="AJ18" s="184"/>
    </row>
    <row r="19" spans="1:36" ht="15">
      <c r="A19" s="256"/>
      <c r="B19" s="29" t="s">
        <v>228</v>
      </c>
      <c r="C19" s="185"/>
      <c r="E19" s="197">
        <f>Parametros!H100</f>
        <v>24835.399999999998</v>
      </c>
      <c r="F19" s="198">
        <f>Parametros!H101</f>
        <v>24835.399999999998</v>
      </c>
      <c r="G19" s="198">
        <f>Parametros!H102</f>
        <v>24835.399999999998</v>
      </c>
      <c r="H19" s="198">
        <f>Parametros!H103</f>
        <v>24835.399999999998</v>
      </c>
      <c r="I19" s="198">
        <f>Parametros!H104</f>
        <v>24835.399999999998</v>
      </c>
      <c r="J19" s="198">
        <f>Parametros!H105</f>
        <v>24835.399999999998</v>
      </c>
      <c r="K19" s="198">
        <f>Parametros!H106</f>
        <v>24835.399999999998</v>
      </c>
      <c r="L19" s="198">
        <f>Parametros!H107</f>
        <v>24835.399999999998</v>
      </c>
      <c r="M19" s="198">
        <f>Parametros!H108</f>
        <v>24835.399999999998</v>
      </c>
      <c r="N19" s="198">
        <f>Parametros!H109</f>
        <v>24835.399999999998</v>
      </c>
      <c r="O19" s="198">
        <f>Parametros!H110</f>
        <v>24835.399999999998</v>
      </c>
      <c r="P19" s="198">
        <f>Parametros!H111</f>
        <v>24835.399999999998</v>
      </c>
      <c r="Q19" s="198">
        <f>Parametros!H112</f>
        <v>24835.399999999998</v>
      </c>
      <c r="R19" s="198">
        <f>Parametros!H113</f>
        <v>24835.399999999998</v>
      </c>
      <c r="S19" s="198">
        <f>Parametros!H114</f>
        <v>24835.399999999998</v>
      </c>
      <c r="T19" s="198">
        <f>Parametros!H115</f>
        <v>24835.399999999998</v>
      </c>
      <c r="U19" s="198">
        <v>0</v>
      </c>
      <c r="V19" s="198">
        <v>0</v>
      </c>
      <c r="W19" s="198">
        <v>0</v>
      </c>
      <c r="X19" s="198">
        <v>0</v>
      </c>
      <c r="Y19" s="198">
        <v>0</v>
      </c>
      <c r="Z19" s="198">
        <v>0</v>
      </c>
      <c r="AA19" s="198">
        <v>0</v>
      </c>
      <c r="AB19" s="198">
        <v>0</v>
      </c>
      <c r="AC19" s="198">
        <v>0</v>
      </c>
      <c r="AD19" s="198">
        <v>0</v>
      </c>
      <c r="AE19" s="198">
        <v>0</v>
      </c>
      <c r="AF19" s="198">
        <v>0</v>
      </c>
      <c r="AG19" s="199">
        <v>0</v>
      </c>
      <c r="AH19" s="184"/>
      <c r="AI19" s="216">
        <f>+SUM(E19:AG19)</f>
        <v>397366.40000000008</v>
      </c>
      <c r="AJ19" s="184"/>
    </row>
    <row r="20" spans="1:36" ht="15">
      <c r="A20" s="74" t="s">
        <v>195</v>
      </c>
      <c r="B20" s="75" t="s">
        <v>196</v>
      </c>
      <c r="C20" s="185"/>
      <c r="E20" s="226">
        <f>Parametros!$C$151*Parametros!$C$52*Parametros!$C$153/(10^6)</f>
        <v>2178.7857599999993</v>
      </c>
      <c r="F20" s="227">
        <f>Parametros!$C$151*Parametros!$C$52*Parametros!$C$153/(10^6)</f>
        <v>2178.7857599999993</v>
      </c>
      <c r="G20" s="227">
        <f>Parametros!$C$151*Parametros!$C$52*Parametros!$C$153/(10^6)</f>
        <v>2178.7857599999993</v>
      </c>
      <c r="H20" s="227">
        <f>Parametros!$C$151*Parametros!$C$52*Parametros!$C$153/(10^6)</f>
        <v>2178.7857599999993</v>
      </c>
      <c r="I20" s="227">
        <f>Parametros!$C$151*Parametros!$C$52*Parametros!$C$153/(10^6)</f>
        <v>2178.7857599999993</v>
      </c>
      <c r="J20" s="227">
        <f>Parametros!$C$151*Parametros!$C$52*Parametros!$C$153/(10^6)</f>
        <v>2178.7857599999993</v>
      </c>
      <c r="K20" s="227">
        <f>Parametros!$C$151*Parametros!$C$52*Parametros!$C$153/(10^6)</f>
        <v>2178.7857599999993</v>
      </c>
      <c r="L20" s="227">
        <f>Parametros!$C$151*Parametros!$C$52*Parametros!$C$153/(10^6)</f>
        <v>2178.7857599999993</v>
      </c>
      <c r="M20" s="227">
        <f>Parametros!$C$151*Parametros!$C$52*Parametros!$C$153/(10^6)</f>
        <v>2178.7857599999993</v>
      </c>
      <c r="N20" s="227">
        <f>Parametros!$C$151*Parametros!$C$52*Parametros!$C$153/(10^6)</f>
        <v>2178.7857599999993</v>
      </c>
      <c r="O20" s="227">
        <f>Parametros!$C$151*Parametros!$C$52*Parametros!$C$153/(10^6)</f>
        <v>2178.7857599999993</v>
      </c>
      <c r="P20" s="227">
        <f>Parametros!$C$151*Parametros!$C$52*Parametros!$C$153/(10^6)</f>
        <v>2178.7857599999993</v>
      </c>
      <c r="Q20" s="227">
        <f>Parametros!$C$151*Parametros!$C$52*Parametros!$C$153/(10^6)</f>
        <v>2178.7857599999993</v>
      </c>
      <c r="R20" s="227">
        <f>Parametros!$C$151*Parametros!$C$52*Parametros!$C$153/(10^6)</f>
        <v>2178.7857599999993</v>
      </c>
      <c r="S20" s="227">
        <f>Parametros!$C$151*Parametros!$C$52*Parametros!$C$153/(10^6)</f>
        <v>2178.7857599999993</v>
      </c>
      <c r="T20" s="227">
        <f>Parametros!$C$151*Parametros!$C$52*Parametros!$C$153/(10^6)</f>
        <v>2178.7857599999993</v>
      </c>
      <c r="U20" s="227">
        <v>0</v>
      </c>
      <c r="V20" s="227">
        <v>0</v>
      </c>
      <c r="W20" s="227">
        <v>0</v>
      </c>
      <c r="X20" s="227">
        <v>0</v>
      </c>
      <c r="Y20" s="227">
        <v>0</v>
      </c>
      <c r="Z20" s="227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8">
        <v>0</v>
      </c>
      <c r="AH20" s="184"/>
      <c r="AI20" s="217">
        <f t="shared" si="28"/>
        <v>34860.572159999989</v>
      </c>
      <c r="AJ20" s="184"/>
    </row>
    <row r="21" spans="1:36" ht="15">
      <c r="B21" s="180" t="s">
        <v>227</v>
      </c>
      <c r="C21" s="185"/>
      <c r="E21" s="189">
        <f>SUM(E7:E20)</f>
        <v>195497.36143567567</v>
      </c>
      <c r="F21" s="189">
        <f t="shared" ref="F21:AG21" si="29">SUM(F7:F20)</f>
        <v>37565.71167063342</v>
      </c>
      <c r="G21" s="189">
        <f t="shared" si="29"/>
        <v>37121.112412639894</v>
      </c>
      <c r="H21" s="189">
        <f t="shared" si="29"/>
        <v>36663.175176906567</v>
      </c>
      <c r="I21" s="189">
        <f t="shared" si="29"/>
        <v>36191.499824101236</v>
      </c>
      <c r="J21" s="189">
        <f t="shared" si="29"/>
        <v>35705.674210711753</v>
      </c>
      <c r="K21" s="189">
        <f t="shared" si="29"/>
        <v>35205.273828920581</v>
      </c>
      <c r="L21" s="189">
        <f t="shared" si="29"/>
        <v>34689.861435675673</v>
      </c>
      <c r="M21" s="189">
        <f t="shared" si="29"/>
        <v>34689.861435675673</v>
      </c>
      <c r="N21" s="189">
        <f t="shared" si="29"/>
        <v>34689.861435675673</v>
      </c>
      <c r="O21" s="189">
        <f t="shared" si="29"/>
        <v>34689.861435675673</v>
      </c>
      <c r="P21" s="189">
        <f t="shared" si="29"/>
        <v>34689.861435675673</v>
      </c>
      <c r="Q21" s="189">
        <f t="shared" si="29"/>
        <v>34689.861435675673</v>
      </c>
      <c r="R21" s="189">
        <f t="shared" si="29"/>
        <v>34689.861435675673</v>
      </c>
      <c r="S21" s="189">
        <f t="shared" si="29"/>
        <v>34689.861435675673</v>
      </c>
      <c r="T21" s="189">
        <f t="shared" si="29"/>
        <v>34689.861435675673</v>
      </c>
      <c r="U21" s="189">
        <f t="shared" si="29"/>
        <v>0</v>
      </c>
      <c r="V21" s="189">
        <f t="shared" si="29"/>
        <v>0</v>
      </c>
      <c r="W21" s="189">
        <f t="shared" si="29"/>
        <v>0</v>
      </c>
      <c r="X21" s="189">
        <f t="shared" si="29"/>
        <v>0</v>
      </c>
      <c r="Y21" s="189">
        <f t="shared" si="29"/>
        <v>0</v>
      </c>
      <c r="Z21" s="189">
        <f t="shared" si="29"/>
        <v>0</v>
      </c>
      <c r="AA21" s="189">
        <f t="shared" si="29"/>
        <v>0</v>
      </c>
      <c r="AB21" s="189">
        <f t="shared" si="29"/>
        <v>0</v>
      </c>
      <c r="AC21" s="189">
        <f t="shared" si="29"/>
        <v>0</v>
      </c>
      <c r="AD21" s="189">
        <f t="shared" si="29"/>
        <v>0</v>
      </c>
      <c r="AE21" s="189">
        <f t="shared" si="29"/>
        <v>0</v>
      </c>
      <c r="AF21" s="189">
        <f t="shared" si="29"/>
        <v>0</v>
      </c>
      <c r="AG21" s="189">
        <f t="shared" si="29"/>
        <v>0</v>
      </c>
      <c r="AH21" s="184"/>
      <c r="AI21" s="201">
        <f>+SUM(E21:AG21)</f>
        <v>726158.56148066989</v>
      </c>
      <c r="AJ21" s="184"/>
    </row>
    <row r="22" spans="1:36" ht="15">
      <c r="A22" s="184"/>
      <c r="C22" s="225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</row>
    <row r="23" spans="1:36" ht="15">
      <c r="C23" s="185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4"/>
      <c r="AI23" s="184"/>
      <c r="AJ23" s="184"/>
    </row>
    <row r="24" spans="1:36" ht="15">
      <c r="A24" s="180" t="s">
        <v>229</v>
      </c>
      <c r="E24" s="187">
        <f t="shared" ref="E24:AG24" si="30">1/(1+$C$3)^E5</f>
        <v>1</v>
      </c>
      <c r="F24" s="187">
        <f t="shared" si="30"/>
        <v>1</v>
      </c>
      <c r="G24" s="187">
        <f t="shared" si="30"/>
        <v>1</v>
      </c>
      <c r="H24" s="187">
        <f t="shared" si="30"/>
        <v>1</v>
      </c>
      <c r="I24" s="187">
        <f t="shared" si="30"/>
        <v>1</v>
      </c>
      <c r="J24" s="187">
        <f t="shared" si="30"/>
        <v>1</v>
      </c>
      <c r="K24" s="187">
        <f t="shared" si="30"/>
        <v>1</v>
      </c>
      <c r="L24" s="187">
        <f t="shared" si="30"/>
        <v>1</v>
      </c>
      <c r="M24" s="187">
        <f t="shared" si="30"/>
        <v>1</v>
      </c>
      <c r="N24" s="187">
        <f t="shared" si="30"/>
        <v>1</v>
      </c>
      <c r="O24" s="187">
        <f t="shared" si="30"/>
        <v>1</v>
      </c>
      <c r="P24" s="187">
        <f t="shared" si="30"/>
        <v>1</v>
      </c>
      <c r="Q24" s="187">
        <f t="shared" si="30"/>
        <v>1</v>
      </c>
      <c r="R24" s="187">
        <f t="shared" si="30"/>
        <v>1</v>
      </c>
      <c r="S24" s="187">
        <f t="shared" si="30"/>
        <v>1</v>
      </c>
      <c r="T24" s="187">
        <f t="shared" si="30"/>
        <v>1</v>
      </c>
      <c r="U24" s="187">
        <f t="shared" si="30"/>
        <v>1</v>
      </c>
      <c r="V24" s="187">
        <f t="shared" si="30"/>
        <v>1</v>
      </c>
      <c r="W24" s="187">
        <f t="shared" si="30"/>
        <v>1</v>
      </c>
      <c r="X24" s="187">
        <f t="shared" si="30"/>
        <v>1</v>
      </c>
      <c r="Y24" s="187">
        <f t="shared" si="30"/>
        <v>1</v>
      </c>
      <c r="Z24" s="187">
        <f t="shared" si="30"/>
        <v>1</v>
      </c>
      <c r="AA24" s="187">
        <f t="shared" si="30"/>
        <v>1</v>
      </c>
      <c r="AB24" s="187">
        <f t="shared" si="30"/>
        <v>1</v>
      </c>
      <c r="AC24" s="187">
        <f t="shared" si="30"/>
        <v>1</v>
      </c>
      <c r="AD24" s="187">
        <f t="shared" si="30"/>
        <v>1</v>
      </c>
      <c r="AE24" s="187">
        <f t="shared" si="30"/>
        <v>1</v>
      </c>
      <c r="AF24" s="187">
        <f t="shared" si="30"/>
        <v>1</v>
      </c>
      <c r="AG24" s="187">
        <f t="shared" si="30"/>
        <v>1</v>
      </c>
      <c r="AH24" s="184"/>
      <c r="AI24" s="184"/>
      <c r="AJ24" s="184"/>
    </row>
    <row r="25" spans="1:36" ht="15">
      <c r="C25" s="188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4"/>
      <c r="AI25" s="184"/>
      <c r="AJ25" s="184"/>
    </row>
    <row r="26" spans="1:36" ht="15">
      <c r="A26" s="270" t="s">
        <v>230</v>
      </c>
      <c r="B26" s="270"/>
      <c r="C26" s="180" t="s">
        <v>19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</row>
    <row r="27" spans="1:36" ht="15">
      <c r="A27" s="254" t="s">
        <v>182</v>
      </c>
      <c r="B27" s="28" t="s">
        <v>183</v>
      </c>
      <c r="C27" s="185"/>
      <c r="E27" s="202">
        <f t="shared" ref="E27:AG27" si="31">+E7*E$65</f>
        <v>150000</v>
      </c>
      <c r="F27" s="203">
        <f t="shared" si="31"/>
        <v>0</v>
      </c>
      <c r="G27" s="203">
        <f t="shared" si="31"/>
        <v>0</v>
      </c>
      <c r="H27" s="203">
        <f t="shared" si="31"/>
        <v>0</v>
      </c>
      <c r="I27" s="203">
        <f t="shared" si="31"/>
        <v>0</v>
      </c>
      <c r="J27" s="203">
        <f t="shared" si="31"/>
        <v>0</v>
      </c>
      <c r="K27" s="203">
        <f t="shared" si="31"/>
        <v>0</v>
      </c>
      <c r="L27" s="203">
        <f t="shared" si="31"/>
        <v>0</v>
      </c>
      <c r="M27" s="203">
        <f t="shared" si="31"/>
        <v>0</v>
      </c>
      <c r="N27" s="203">
        <f t="shared" si="31"/>
        <v>0</v>
      </c>
      <c r="O27" s="203">
        <f t="shared" si="31"/>
        <v>0</v>
      </c>
      <c r="P27" s="203">
        <f t="shared" si="31"/>
        <v>0</v>
      </c>
      <c r="Q27" s="203">
        <f t="shared" si="31"/>
        <v>0</v>
      </c>
      <c r="R27" s="203">
        <f t="shared" si="31"/>
        <v>0</v>
      </c>
      <c r="S27" s="203">
        <f t="shared" si="31"/>
        <v>0</v>
      </c>
      <c r="T27" s="203">
        <f t="shared" si="31"/>
        <v>0</v>
      </c>
      <c r="U27" s="203">
        <f t="shared" si="31"/>
        <v>0</v>
      </c>
      <c r="V27" s="203">
        <f t="shared" si="31"/>
        <v>0</v>
      </c>
      <c r="W27" s="203">
        <f t="shared" si="31"/>
        <v>0</v>
      </c>
      <c r="X27" s="203">
        <f t="shared" si="31"/>
        <v>0</v>
      </c>
      <c r="Y27" s="203">
        <f t="shared" si="31"/>
        <v>0</v>
      </c>
      <c r="Z27" s="203">
        <f t="shared" si="31"/>
        <v>0</v>
      </c>
      <c r="AA27" s="203">
        <f t="shared" si="31"/>
        <v>0</v>
      </c>
      <c r="AB27" s="203">
        <f t="shared" si="31"/>
        <v>0</v>
      </c>
      <c r="AC27" s="203">
        <f t="shared" si="31"/>
        <v>0</v>
      </c>
      <c r="AD27" s="203">
        <f t="shared" si="31"/>
        <v>0</v>
      </c>
      <c r="AE27" s="203">
        <f t="shared" si="31"/>
        <v>0</v>
      </c>
      <c r="AF27" s="203">
        <f t="shared" si="31"/>
        <v>0</v>
      </c>
      <c r="AG27" s="204">
        <f t="shared" si="31"/>
        <v>0</v>
      </c>
      <c r="AH27" s="184"/>
      <c r="AI27" s="218">
        <f t="shared" ref="AI27:AI40" si="32">+SUM(E27:AG27)</f>
        <v>150000</v>
      </c>
      <c r="AJ27" s="184"/>
    </row>
    <row r="28" spans="1:36" ht="15">
      <c r="A28" s="255"/>
      <c r="B28" s="30" t="s">
        <v>28</v>
      </c>
      <c r="C28" s="185"/>
      <c r="E28" s="205">
        <f t="shared" ref="E28:AG28" si="33">+E8*E$65</f>
        <v>0</v>
      </c>
      <c r="F28" s="206">
        <f t="shared" si="33"/>
        <v>0</v>
      </c>
      <c r="G28" s="206">
        <f t="shared" si="33"/>
        <v>0</v>
      </c>
      <c r="H28" s="206">
        <f t="shared" si="33"/>
        <v>0</v>
      </c>
      <c r="I28" s="206">
        <f t="shared" si="33"/>
        <v>0</v>
      </c>
      <c r="J28" s="206">
        <f t="shared" si="33"/>
        <v>0</v>
      </c>
      <c r="K28" s="206">
        <f t="shared" si="33"/>
        <v>0</v>
      </c>
      <c r="L28" s="206">
        <f t="shared" si="33"/>
        <v>0</v>
      </c>
      <c r="M28" s="206">
        <f t="shared" si="33"/>
        <v>0</v>
      </c>
      <c r="N28" s="206">
        <f t="shared" si="33"/>
        <v>0</v>
      </c>
      <c r="O28" s="206">
        <f t="shared" si="33"/>
        <v>0</v>
      </c>
      <c r="P28" s="206">
        <f t="shared" si="33"/>
        <v>0</v>
      </c>
      <c r="Q28" s="206">
        <f t="shared" si="33"/>
        <v>0</v>
      </c>
      <c r="R28" s="206">
        <f t="shared" si="33"/>
        <v>0</v>
      </c>
      <c r="S28" s="206">
        <f t="shared" si="33"/>
        <v>0</v>
      </c>
      <c r="T28" s="206">
        <f t="shared" si="33"/>
        <v>0</v>
      </c>
      <c r="U28" s="206">
        <f t="shared" si="33"/>
        <v>0</v>
      </c>
      <c r="V28" s="206">
        <f t="shared" si="33"/>
        <v>0</v>
      </c>
      <c r="W28" s="206">
        <f t="shared" si="33"/>
        <v>0</v>
      </c>
      <c r="X28" s="206">
        <f t="shared" si="33"/>
        <v>0</v>
      </c>
      <c r="Y28" s="206">
        <f t="shared" si="33"/>
        <v>0</v>
      </c>
      <c r="Z28" s="206">
        <f t="shared" si="33"/>
        <v>0</v>
      </c>
      <c r="AA28" s="206">
        <f t="shared" si="33"/>
        <v>0</v>
      </c>
      <c r="AB28" s="206">
        <f t="shared" si="33"/>
        <v>0</v>
      </c>
      <c r="AC28" s="206">
        <f t="shared" si="33"/>
        <v>0</v>
      </c>
      <c r="AD28" s="206">
        <f t="shared" si="33"/>
        <v>0</v>
      </c>
      <c r="AE28" s="206">
        <f t="shared" si="33"/>
        <v>0</v>
      </c>
      <c r="AF28" s="206">
        <f t="shared" si="33"/>
        <v>0</v>
      </c>
      <c r="AG28" s="207">
        <f t="shared" si="33"/>
        <v>0</v>
      </c>
      <c r="AH28" s="184"/>
      <c r="AI28" s="219">
        <f t="shared" si="32"/>
        <v>0</v>
      </c>
      <c r="AJ28" s="184"/>
    </row>
    <row r="29" spans="1:36" ht="15">
      <c r="A29" s="255"/>
      <c r="B29" s="30" t="s">
        <v>184</v>
      </c>
      <c r="C29" s="185"/>
      <c r="E29" s="205">
        <f t="shared" ref="E29:AG29" si="34">+E9*E$65</f>
        <v>0</v>
      </c>
      <c r="F29" s="206">
        <f t="shared" si="34"/>
        <v>0</v>
      </c>
      <c r="G29" s="206">
        <f t="shared" si="34"/>
        <v>0</v>
      </c>
      <c r="H29" s="206">
        <f t="shared" si="34"/>
        <v>0</v>
      </c>
      <c r="I29" s="206">
        <f t="shared" si="34"/>
        <v>0</v>
      </c>
      <c r="J29" s="206">
        <f t="shared" si="34"/>
        <v>0</v>
      </c>
      <c r="K29" s="206">
        <f t="shared" si="34"/>
        <v>0</v>
      </c>
      <c r="L29" s="206">
        <f t="shared" si="34"/>
        <v>0</v>
      </c>
      <c r="M29" s="206">
        <f t="shared" si="34"/>
        <v>0</v>
      </c>
      <c r="N29" s="206">
        <f t="shared" si="34"/>
        <v>0</v>
      </c>
      <c r="O29" s="206">
        <f t="shared" si="34"/>
        <v>0</v>
      </c>
      <c r="P29" s="206">
        <f t="shared" si="34"/>
        <v>0</v>
      </c>
      <c r="Q29" s="206">
        <f t="shared" si="34"/>
        <v>0</v>
      </c>
      <c r="R29" s="206">
        <f t="shared" si="34"/>
        <v>0</v>
      </c>
      <c r="S29" s="206">
        <f t="shared" si="34"/>
        <v>0</v>
      </c>
      <c r="T29" s="206">
        <f t="shared" si="34"/>
        <v>0</v>
      </c>
      <c r="U29" s="206">
        <f t="shared" si="34"/>
        <v>0</v>
      </c>
      <c r="V29" s="206">
        <f t="shared" si="34"/>
        <v>0</v>
      </c>
      <c r="W29" s="206">
        <f t="shared" si="34"/>
        <v>0</v>
      </c>
      <c r="X29" s="206">
        <f t="shared" si="34"/>
        <v>0</v>
      </c>
      <c r="Y29" s="206">
        <f t="shared" si="34"/>
        <v>0</v>
      </c>
      <c r="Z29" s="206">
        <f t="shared" si="34"/>
        <v>0</v>
      </c>
      <c r="AA29" s="206">
        <f t="shared" si="34"/>
        <v>0</v>
      </c>
      <c r="AB29" s="206">
        <f t="shared" si="34"/>
        <v>0</v>
      </c>
      <c r="AC29" s="206">
        <f t="shared" si="34"/>
        <v>0</v>
      </c>
      <c r="AD29" s="206">
        <f t="shared" si="34"/>
        <v>0</v>
      </c>
      <c r="AE29" s="206">
        <f t="shared" si="34"/>
        <v>0</v>
      </c>
      <c r="AF29" s="206">
        <f t="shared" si="34"/>
        <v>0</v>
      </c>
      <c r="AG29" s="207">
        <f t="shared" si="34"/>
        <v>0</v>
      </c>
      <c r="AH29" s="184"/>
      <c r="AI29" s="219">
        <f t="shared" si="32"/>
        <v>0</v>
      </c>
      <c r="AJ29" s="184"/>
    </row>
    <row r="30" spans="1:36" ht="15">
      <c r="A30" s="255"/>
      <c r="B30" s="30" t="s">
        <v>185</v>
      </c>
      <c r="C30" s="185"/>
      <c r="E30" s="205">
        <f t="shared" ref="E30:AG30" si="35">+E10*E$65</f>
        <v>0</v>
      </c>
      <c r="F30" s="206">
        <f t="shared" si="35"/>
        <v>0</v>
      </c>
      <c r="G30" s="206">
        <f t="shared" si="35"/>
        <v>0</v>
      </c>
      <c r="H30" s="206">
        <f t="shared" si="35"/>
        <v>0</v>
      </c>
      <c r="I30" s="206">
        <f t="shared" si="35"/>
        <v>0</v>
      </c>
      <c r="J30" s="206">
        <f t="shared" si="35"/>
        <v>0</v>
      </c>
      <c r="K30" s="206">
        <f t="shared" si="35"/>
        <v>0</v>
      </c>
      <c r="L30" s="206">
        <f t="shared" si="35"/>
        <v>0</v>
      </c>
      <c r="M30" s="206">
        <f t="shared" si="35"/>
        <v>0</v>
      </c>
      <c r="N30" s="206">
        <f t="shared" si="35"/>
        <v>0</v>
      </c>
      <c r="O30" s="206">
        <f t="shared" si="35"/>
        <v>0</v>
      </c>
      <c r="P30" s="206">
        <f t="shared" si="35"/>
        <v>0</v>
      </c>
      <c r="Q30" s="206">
        <f t="shared" si="35"/>
        <v>0</v>
      </c>
      <c r="R30" s="206">
        <f t="shared" si="35"/>
        <v>0</v>
      </c>
      <c r="S30" s="206">
        <f t="shared" si="35"/>
        <v>0</v>
      </c>
      <c r="T30" s="206">
        <f t="shared" si="35"/>
        <v>0</v>
      </c>
      <c r="U30" s="206">
        <f t="shared" si="35"/>
        <v>0</v>
      </c>
      <c r="V30" s="206">
        <f t="shared" si="35"/>
        <v>0</v>
      </c>
      <c r="W30" s="206">
        <f t="shared" si="35"/>
        <v>0</v>
      </c>
      <c r="X30" s="206">
        <f t="shared" si="35"/>
        <v>0</v>
      </c>
      <c r="Y30" s="206">
        <f t="shared" si="35"/>
        <v>0</v>
      </c>
      <c r="Z30" s="206">
        <f t="shared" si="35"/>
        <v>0</v>
      </c>
      <c r="AA30" s="206">
        <f t="shared" si="35"/>
        <v>0</v>
      </c>
      <c r="AB30" s="206">
        <f t="shared" si="35"/>
        <v>0</v>
      </c>
      <c r="AC30" s="206">
        <f t="shared" si="35"/>
        <v>0</v>
      </c>
      <c r="AD30" s="206">
        <f t="shared" si="35"/>
        <v>0</v>
      </c>
      <c r="AE30" s="206">
        <f t="shared" si="35"/>
        <v>0</v>
      </c>
      <c r="AF30" s="206">
        <f t="shared" si="35"/>
        <v>0</v>
      </c>
      <c r="AG30" s="207">
        <f t="shared" si="35"/>
        <v>0</v>
      </c>
      <c r="AH30" s="184"/>
      <c r="AI30" s="219">
        <f t="shared" si="32"/>
        <v>0</v>
      </c>
      <c r="AJ30" s="184"/>
    </row>
    <row r="31" spans="1:36" ht="15">
      <c r="A31" s="256"/>
      <c r="B31" s="29" t="s">
        <v>186</v>
      </c>
      <c r="C31" s="185"/>
      <c r="E31" s="208">
        <v>0</v>
      </c>
      <c r="F31" s="209">
        <f t="shared" ref="F31:AG31" si="36">+F11*F$65</f>
        <v>0</v>
      </c>
      <c r="G31" s="209">
        <f t="shared" si="36"/>
        <v>0</v>
      </c>
      <c r="H31" s="209">
        <f t="shared" si="36"/>
        <v>0</v>
      </c>
      <c r="I31" s="209">
        <f t="shared" si="36"/>
        <v>0</v>
      </c>
      <c r="J31" s="209">
        <f t="shared" si="36"/>
        <v>0</v>
      </c>
      <c r="K31" s="209">
        <f t="shared" si="36"/>
        <v>0</v>
      </c>
      <c r="L31" s="209">
        <f t="shared" si="36"/>
        <v>0</v>
      </c>
      <c r="M31" s="209">
        <f t="shared" si="36"/>
        <v>0</v>
      </c>
      <c r="N31" s="209">
        <f t="shared" si="36"/>
        <v>0</v>
      </c>
      <c r="O31" s="209">
        <f t="shared" si="36"/>
        <v>0</v>
      </c>
      <c r="P31" s="209">
        <f t="shared" si="36"/>
        <v>0</v>
      </c>
      <c r="Q31" s="209">
        <f t="shared" si="36"/>
        <v>0</v>
      </c>
      <c r="R31" s="209">
        <f t="shared" si="36"/>
        <v>0</v>
      </c>
      <c r="S31" s="209">
        <f t="shared" si="36"/>
        <v>0</v>
      </c>
      <c r="T31" s="209">
        <f t="shared" si="36"/>
        <v>0</v>
      </c>
      <c r="U31" s="209">
        <f t="shared" si="36"/>
        <v>0</v>
      </c>
      <c r="V31" s="209">
        <f t="shared" si="36"/>
        <v>0</v>
      </c>
      <c r="W31" s="209">
        <f t="shared" si="36"/>
        <v>0</v>
      </c>
      <c r="X31" s="209">
        <f t="shared" si="36"/>
        <v>0</v>
      </c>
      <c r="Y31" s="209">
        <f t="shared" si="36"/>
        <v>0</v>
      </c>
      <c r="Z31" s="209">
        <f t="shared" si="36"/>
        <v>0</v>
      </c>
      <c r="AA31" s="209">
        <f t="shared" si="36"/>
        <v>0</v>
      </c>
      <c r="AB31" s="209">
        <f t="shared" si="36"/>
        <v>0</v>
      </c>
      <c r="AC31" s="209">
        <f t="shared" si="36"/>
        <v>0</v>
      </c>
      <c r="AD31" s="209">
        <f t="shared" si="36"/>
        <v>0</v>
      </c>
      <c r="AE31" s="209">
        <f t="shared" si="36"/>
        <v>0</v>
      </c>
      <c r="AF31" s="209">
        <f t="shared" si="36"/>
        <v>0</v>
      </c>
      <c r="AG31" s="210">
        <f t="shared" si="36"/>
        <v>0</v>
      </c>
      <c r="AH31" s="184"/>
      <c r="AI31" s="220">
        <f t="shared" si="32"/>
        <v>0</v>
      </c>
      <c r="AJ31" s="184"/>
    </row>
    <row r="32" spans="1:36" ht="15">
      <c r="A32" s="254" t="s">
        <v>187</v>
      </c>
      <c r="B32" s="118" t="s">
        <v>156</v>
      </c>
      <c r="C32" s="185"/>
      <c r="E32" s="202">
        <f t="shared" ref="E32:E40" si="37">+E12*E$65</f>
        <v>7500</v>
      </c>
      <c r="F32" s="203">
        <f t="shared" ref="F32:AG32" si="38">+F12*F$65</f>
        <v>0</v>
      </c>
      <c r="G32" s="203">
        <f t="shared" si="38"/>
        <v>0</v>
      </c>
      <c r="H32" s="203">
        <f t="shared" si="38"/>
        <v>0</v>
      </c>
      <c r="I32" s="203">
        <f t="shared" si="38"/>
        <v>0</v>
      </c>
      <c r="J32" s="203">
        <f t="shared" si="38"/>
        <v>0</v>
      </c>
      <c r="K32" s="203">
        <f t="shared" si="38"/>
        <v>0</v>
      </c>
      <c r="L32" s="203">
        <f t="shared" si="38"/>
        <v>0</v>
      </c>
      <c r="M32" s="203">
        <f t="shared" si="38"/>
        <v>0</v>
      </c>
      <c r="N32" s="203">
        <f t="shared" si="38"/>
        <v>0</v>
      </c>
      <c r="O32" s="203">
        <f t="shared" si="38"/>
        <v>0</v>
      </c>
      <c r="P32" s="203">
        <f t="shared" si="38"/>
        <v>0</v>
      </c>
      <c r="Q32" s="203">
        <f t="shared" si="38"/>
        <v>0</v>
      </c>
      <c r="R32" s="203">
        <f t="shared" si="38"/>
        <v>0</v>
      </c>
      <c r="S32" s="203">
        <f t="shared" si="38"/>
        <v>0</v>
      </c>
      <c r="T32" s="203">
        <f t="shared" si="38"/>
        <v>0</v>
      </c>
      <c r="U32" s="203">
        <f t="shared" si="38"/>
        <v>0</v>
      </c>
      <c r="V32" s="203">
        <f t="shared" si="38"/>
        <v>0</v>
      </c>
      <c r="W32" s="203">
        <f t="shared" si="38"/>
        <v>0</v>
      </c>
      <c r="X32" s="203">
        <f t="shared" si="38"/>
        <v>0</v>
      </c>
      <c r="Y32" s="203">
        <f t="shared" si="38"/>
        <v>0</v>
      </c>
      <c r="Z32" s="203">
        <f t="shared" si="38"/>
        <v>0</v>
      </c>
      <c r="AA32" s="203">
        <f t="shared" si="38"/>
        <v>0</v>
      </c>
      <c r="AB32" s="203">
        <f t="shared" si="38"/>
        <v>0</v>
      </c>
      <c r="AC32" s="203">
        <f t="shared" si="38"/>
        <v>0</v>
      </c>
      <c r="AD32" s="203">
        <f t="shared" si="38"/>
        <v>0</v>
      </c>
      <c r="AE32" s="203">
        <f t="shared" si="38"/>
        <v>0</v>
      </c>
      <c r="AF32" s="203">
        <f t="shared" si="38"/>
        <v>0</v>
      </c>
      <c r="AG32" s="204">
        <f t="shared" si="38"/>
        <v>0</v>
      </c>
      <c r="AH32" s="184"/>
      <c r="AI32" s="218">
        <f t="shared" si="32"/>
        <v>7500</v>
      </c>
      <c r="AJ32" s="184"/>
    </row>
    <row r="33" spans="1:36" ht="15">
      <c r="A33" s="255"/>
      <c r="B33" s="118" t="s">
        <v>157</v>
      </c>
      <c r="C33" s="185"/>
      <c r="E33" s="205">
        <f t="shared" si="37"/>
        <v>0</v>
      </c>
      <c r="F33" s="206">
        <f t="shared" ref="F33:AG33" si="39">+F13*F$65</f>
        <v>0</v>
      </c>
      <c r="G33" s="206">
        <f t="shared" si="39"/>
        <v>0</v>
      </c>
      <c r="H33" s="206">
        <f t="shared" si="39"/>
        <v>0</v>
      </c>
      <c r="I33" s="206">
        <f t="shared" si="39"/>
        <v>0</v>
      </c>
      <c r="J33" s="206">
        <f t="shared" si="39"/>
        <v>0</v>
      </c>
      <c r="K33" s="206">
        <f t="shared" si="39"/>
        <v>0</v>
      </c>
      <c r="L33" s="206">
        <f t="shared" si="39"/>
        <v>0</v>
      </c>
      <c r="M33" s="206">
        <f t="shared" si="39"/>
        <v>0</v>
      </c>
      <c r="N33" s="206">
        <f t="shared" si="39"/>
        <v>0</v>
      </c>
      <c r="O33" s="206">
        <f t="shared" si="39"/>
        <v>0</v>
      </c>
      <c r="P33" s="206">
        <f t="shared" si="39"/>
        <v>0</v>
      </c>
      <c r="Q33" s="206">
        <f t="shared" si="39"/>
        <v>0</v>
      </c>
      <c r="R33" s="206">
        <f t="shared" si="39"/>
        <v>0</v>
      </c>
      <c r="S33" s="206">
        <f t="shared" si="39"/>
        <v>0</v>
      </c>
      <c r="T33" s="206">
        <f t="shared" si="39"/>
        <v>0</v>
      </c>
      <c r="U33" s="206">
        <f t="shared" si="39"/>
        <v>0</v>
      </c>
      <c r="V33" s="206">
        <f t="shared" si="39"/>
        <v>0</v>
      </c>
      <c r="W33" s="206">
        <f t="shared" si="39"/>
        <v>0</v>
      </c>
      <c r="X33" s="206">
        <f t="shared" si="39"/>
        <v>0</v>
      </c>
      <c r="Y33" s="206">
        <f t="shared" si="39"/>
        <v>0</v>
      </c>
      <c r="Z33" s="206">
        <f t="shared" si="39"/>
        <v>0</v>
      </c>
      <c r="AA33" s="206">
        <f t="shared" si="39"/>
        <v>0</v>
      </c>
      <c r="AB33" s="206">
        <f t="shared" si="39"/>
        <v>0</v>
      </c>
      <c r="AC33" s="206">
        <f t="shared" si="39"/>
        <v>0</v>
      </c>
      <c r="AD33" s="206">
        <f t="shared" si="39"/>
        <v>0</v>
      </c>
      <c r="AE33" s="206">
        <f t="shared" si="39"/>
        <v>0</v>
      </c>
      <c r="AF33" s="206">
        <f t="shared" si="39"/>
        <v>0</v>
      </c>
      <c r="AG33" s="207">
        <f t="shared" si="39"/>
        <v>0</v>
      </c>
      <c r="AH33" s="184"/>
      <c r="AI33" s="219">
        <f t="shared" si="32"/>
        <v>0</v>
      </c>
      <c r="AJ33" s="184"/>
    </row>
    <row r="34" spans="1:36" ht="15">
      <c r="A34" s="255"/>
      <c r="B34" s="118" t="s">
        <v>158</v>
      </c>
      <c r="C34" s="188"/>
      <c r="E34" s="205">
        <f t="shared" si="37"/>
        <v>0</v>
      </c>
      <c r="F34" s="206">
        <f t="shared" ref="F34:AG34" si="40">+F14*F$65</f>
        <v>0</v>
      </c>
      <c r="G34" s="206">
        <f t="shared" si="40"/>
        <v>0</v>
      </c>
      <c r="H34" s="206">
        <f t="shared" si="40"/>
        <v>0</v>
      </c>
      <c r="I34" s="206">
        <f t="shared" si="40"/>
        <v>0</v>
      </c>
      <c r="J34" s="206">
        <f t="shared" si="40"/>
        <v>0</v>
      </c>
      <c r="K34" s="206">
        <f t="shared" si="40"/>
        <v>0</v>
      </c>
      <c r="L34" s="206">
        <f t="shared" si="40"/>
        <v>0</v>
      </c>
      <c r="M34" s="206">
        <f t="shared" si="40"/>
        <v>0</v>
      </c>
      <c r="N34" s="206">
        <f t="shared" si="40"/>
        <v>0</v>
      </c>
      <c r="O34" s="206">
        <f t="shared" si="40"/>
        <v>0</v>
      </c>
      <c r="P34" s="206">
        <f t="shared" si="40"/>
        <v>0</v>
      </c>
      <c r="Q34" s="206">
        <f t="shared" si="40"/>
        <v>0</v>
      </c>
      <c r="R34" s="206">
        <f t="shared" si="40"/>
        <v>0</v>
      </c>
      <c r="S34" s="206">
        <f t="shared" si="40"/>
        <v>0</v>
      </c>
      <c r="T34" s="206">
        <f t="shared" si="40"/>
        <v>0</v>
      </c>
      <c r="U34" s="206">
        <f t="shared" si="40"/>
        <v>0</v>
      </c>
      <c r="V34" s="206">
        <f t="shared" si="40"/>
        <v>0</v>
      </c>
      <c r="W34" s="206">
        <f t="shared" si="40"/>
        <v>0</v>
      </c>
      <c r="X34" s="206">
        <f t="shared" si="40"/>
        <v>0</v>
      </c>
      <c r="Y34" s="206">
        <f t="shared" si="40"/>
        <v>0</v>
      </c>
      <c r="Z34" s="206">
        <f t="shared" si="40"/>
        <v>0</v>
      </c>
      <c r="AA34" s="206">
        <f t="shared" si="40"/>
        <v>0</v>
      </c>
      <c r="AB34" s="206">
        <f t="shared" si="40"/>
        <v>0</v>
      </c>
      <c r="AC34" s="206">
        <f t="shared" si="40"/>
        <v>0</v>
      </c>
      <c r="AD34" s="206">
        <f t="shared" si="40"/>
        <v>0</v>
      </c>
      <c r="AE34" s="206">
        <f t="shared" si="40"/>
        <v>0</v>
      </c>
      <c r="AF34" s="206">
        <f t="shared" si="40"/>
        <v>0</v>
      </c>
      <c r="AG34" s="207">
        <f t="shared" si="40"/>
        <v>0</v>
      </c>
      <c r="AH34" s="184"/>
      <c r="AI34" s="219">
        <f t="shared" si="32"/>
        <v>0</v>
      </c>
      <c r="AJ34" s="184"/>
    </row>
    <row r="35" spans="1:36" ht="15">
      <c r="A35" s="255"/>
      <c r="B35" s="118" t="s">
        <v>159</v>
      </c>
      <c r="C35" s="188"/>
      <c r="E35" s="205">
        <f t="shared" si="37"/>
        <v>0</v>
      </c>
      <c r="F35" s="206">
        <f t="shared" ref="F35:AG35" si="41">+F15*F$65</f>
        <v>0</v>
      </c>
      <c r="G35" s="206">
        <f t="shared" si="41"/>
        <v>0</v>
      </c>
      <c r="H35" s="206">
        <f t="shared" si="41"/>
        <v>0</v>
      </c>
      <c r="I35" s="206">
        <f t="shared" si="41"/>
        <v>0</v>
      </c>
      <c r="J35" s="206">
        <f t="shared" si="41"/>
        <v>0</v>
      </c>
      <c r="K35" s="206">
        <f t="shared" si="41"/>
        <v>0</v>
      </c>
      <c r="L35" s="206">
        <f t="shared" si="41"/>
        <v>0</v>
      </c>
      <c r="M35" s="206">
        <f t="shared" si="41"/>
        <v>0</v>
      </c>
      <c r="N35" s="206">
        <f t="shared" si="41"/>
        <v>0</v>
      </c>
      <c r="O35" s="206">
        <f t="shared" si="41"/>
        <v>0</v>
      </c>
      <c r="P35" s="206">
        <f t="shared" si="41"/>
        <v>0</v>
      </c>
      <c r="Q35" s="206">
        <f t="shared" si="41"/>
        <v>0</v>
      </c>
      <c r="R35" s="206">
        <f t="shared" si="41"/>
        <v>0</v>
      </c>
      <c r="S35" s="206">
        <f t="shared" si="41"/>
        <v>0</v>
      </c>
      <c r="T35" s="206">
        <f t="shared" si="41"/>
        <v>0</v>
      </c>
      <c r="U35" s="206">
        <f t="shared" si="41"/>
        <v>0</v>
      </c>
      <c r="V35" s="206">
        <f t="shared" si="41"/>
        <v>0</v>
      </c>
      <c r="W35" s="206">
        <f t="shared" si="41"/>
        <v>0</v>
      </c>
      <c r="X35" s="206">
        <f t="shared" si="41"/>
        <v>0</v>
      </c>
      <c r="Y35" s="206">
        <f t="shared" si="41"/>
        <v>0</v>
      </c>
      <c r="Z35" s="206">
        <f t="shared" si="41"/>
        <v>0</v>
      </c>
      <c r="AA35" s="206">
        <f t="shared" si="41"/>
        <v>0</v>
      </c>
      <c r="AB35" s="206">
        <f t="shared" si="41"/>
        <v>0</v>
      </c>
      <c r="AC35" s="206">
        <f t="shared" si="41"/>
        <v>0</v>
      </c>
      <c r="AD35" s="206">
        <f t="shared" si="41"/>
        <v>0</v>
      </c>
      <c r="AE35" s="206">
        <f t="shared" si="41"/>
        <v>0</v>
      </c>
      <c r="AF35" s="206">
        <f t="shared" si="41"/>
        <v>0</v>
      </c>
      <c r="AG35" s="207">
        <f t="shared" si="41"/>
        <v>0</v>
      </c>
      <c r="AH35" s="184"/>
      <c r="AI35" s="219">
        <f t="shared" si="32"/>
        <v>0</v>
      </c>
      <c r="AJ35" s="184"/>
    </row>
    <row r="36" spans="1:36" ht="15">
      <c r="A36" s="256"/>
      <c r="B36" s="29" t="s">
        <v>188</v>
      </c>
      <c r="C36" s="188"/>
      <c r="E36" s="208">
        <f t="shared" si="37"/>
        <v>3307.5</v>
      </c>
      <c r="F36" s="209">
        <f t="shared" ref="F36:AG36" si="42">+F16*F$65</f>
        <v>2875.8502349577448</v>
      </c>
      <c r="G36" s="209">
        <f t="shared" si="42"/>
        <v>2431.2509769642224</v>
      </c>
      <c r="H36" s="209">
        <f t="shared" si="42"/>
        <v>1973.3137412308947</v>
      </c>
      <c r="I36" s="209">
        <f t="shared" si="42"/>
        <v>1501.638388425567</v>
      </c>
      <c r="J36" s="209">
        <f t="shared" si="42"/>
        <v>1015.8127750360795</v>
      </c>
      <c r="K36" s="209">
        <f t="shared" si="42"/>
        <v>515.41239324490732</v>
      </c>
      <c r="L36" s="209">
        <f t="shared" si="42"/>
        <v>0</v>
      </c>
      <c r="M36" s="209">
        <f t="shared" si="42"/>
        <v>0</v>
      </c>
      <c r="N36" s="209">
        <f t="shared" si="42"/>
        <v>0</v>
      </c>
      <c r="O36" s="209">
        <f t="shared" si="42"/>
        <v>0</v>
      </c>
      <c r="P36" s="209">
        <f t="shared" si="42"/>
        <v>0</v>
      </c>
      <c r="Q36" s="209">
        <f t="shared" si="42"/>
        <v>0</v>
      </c>
      <c r="R36" s="209">
        <f t="shared" si="42"/>
        <v>0</v>
      </c>
      <c r="S36" s="209">
        <f t="shared" si="42"/>
        <v>0</v>
      </c>
      <c r="T36" s="209">
        <f t="shared" si="42"/>
        <v>0</v>
      </c>
      <c r="U36" s="209">
        <f t="shared" si="42"/>
        <v>0</v>
      </c>
      <c r="V36" s="209">
        <f t="shared" si="42"/>
        <v>0</v>
      </c>
      <c r="W36" s="209">
        <f t="shared" si="42"/>
        <v>0</v>
      </c>
      <c r="X36" s="209">
        <f t="shared" si="42"/>
        <v>0</v>
      </c>
      <c r="Y36" s="209">
        <f t="shared" si="42"/>
        <v>0</v>
      </c>
      <c r="Z36" s="209">
        <f t="shared" si="42"/>
        <v>0</v>
      </c>
      <c r="AA36" s="209">
        <f t="shared" si="42"/>
        <v>0</v>
      </c>
      <c r="AB36" s="209">
        <f t="shared" si="42"/>
        <v>0</v>
      </c>
      <c r="AC36" s="209">
        <f t="shared" si="42"/>
        <v>0</v>
      </c>
      <c r="AD36" s="209">
        <f t="shared" si="42"/>
        <v>0</v>
      </c>
      <c r="AE36" s="209">
        <f t="shared" si="42"/>
        <v>0</v>
      </c>
      <c r="AF36" s="209">
        <f t="shared" si="42"/>
        <v>0</v>
      </c>
      <c r="AG36" s="210">
        <f t="shared" si="42"/>
        <v>0</v>
      </c>
      <c r="AH36" s="184"/>
      <c r="AI36" s="220">
        <f t="shared" si="32"/>
        <v>13620.778509859416</v>
      </c>
      <c r="AJ36" s="184"/>
    </row>
    <row r="37" spans="1:36" ht="15">
      <c r="A37" s="254" t="s">
        <v>189</v>
      </c>
      <c r="B37" s="30" t="s">
        <v>190</v>
      </c>
      <c r="C37" s="188"/>
      <c r="E37" s="202">
        <f t="shared" si="37"/>
        <v>7675.6756756756768</v>
      </c>
      <c r="F37" s="203">
        <f t="shared" ref="F37:AG37" si="43">+F17*F$65</f>
        <v>7675.6756756756768</v>
      </c>
      <c r="G37" s="203">
        <f t="shared" si="43"/>
        <v>7675.6756756756768</v>
      </c>
      <c r="H37" s="203">
        <f t="shared" si="43"/>
        <v>7675.6756756756768</v>
      </c>
      <c r="I37" s="203">
        <f t="shared" si="43"/>
        <v>7675.6756756756768</v>
      </c>
      <c r="J37" s="203">
        <f t="shared" si="43"/>
        <v>7675.6756756756768</v>
      </c>
      <c r="K37" s="203">
        <f t="shared" si="43"/>
        <v>7675.6756756756768</v>
      </c>
      <c r="L37" s="203">
        <f t="shared" si="43"/>
        <v>7675.6756756756768</v>
      </c>
      <c r="M37" s="203">
        <f t="shared" si="43"/>
        <v>7675.6756756756768</v>
      </c>
      <c r="N37" s="203">
        <f t="shared" si="43"/>
        <v>7675.6756756756768</v>
      </c>
      <c r="O37" s="203">
        <f t="shared" si="43"/>
        <v>7675.6756756756768</v>
      </c>
      <c r="P37" s="203">
        <f t="shared" si="43"/>
        <v>7675.6756756756768</v>
      </c>
      <c r="Q37" s="203">
        <f t="shared" si="43"/>
        <v>7675.6756756756768</v>
      </c>
      <c r="R37" s="203">
        <f t="shared" si="43"/>
        <v>7675.6756756756768</v>
      </c>
      <c r="S37" s="203">
        <f t="shared" si="43"/>
        <v>7675.6756756756768</v>
      </c>
      <c r="T37" s="203">
        <f t="shared" si="43"/>
        <v>7675.6756756756768</v>
      </c>
      <c r="U37" s="203">
        <f t="shared" si="43"/>
        <v>0</v>
      </c>
      <c r="V37" s="203">
        <f t="shared" si="43"/>
        <v>0</v>
      </c>
      <c r="W37" s="203">
        <f t="shared" si="43"/>
        <v>0</v>
      </c>
      <c r="X37" s="203">
        <f t="shared" si="43"/>
        <v>0</v>
      </c>
      <c r="Y37" s="203">
        <f t="shared" si="43"/>
        <v>0</v>
      </c>
      <c r="Z37" s="203">
        <f t="shared" si="43"/>
        <v>0</v>
      </c>
      <c r="AA37" s="203">
        <f t="shared" si="43"/>
        <v>0</v>
      </c>
      <c r="AB37" s="203">
        <f t="shared" si="43"/>
        <v>0</v>
      </c>
      <c r="AC37" s="203">
        <f t="shared" si="43"/>
        <v>0</v>
      </c>
      <c r="AD37" s="203">
        <f t="shared" si="43"/>
        <v>0</v>
      </c>
      <c r="AE37" s="203">
        <f t="shared" si="43"/>
        <v>0</v>
      </c>
      <c r="AF37" s="203">
        <f t="shared" si="43"/>
        <v>0</v>
      </c>
      <c r="AG37" s="204">
        <f t="shared" si="43"/>
        <v>0</v>
      </c>
      <c r="AH37" s="184"/>
      <c r="AI37" s="218">
        <f t="shared" si="32"/>
        <v>122810.81081081087</v>
      </c>
      <c r="AJ37" s="184"/>
    </row>
    <row r="38" spans="1:36" ht="15">
      <c r="A38" s="255"/>
      <c r="B38" s="30" t="s">
        <v>191</v>
      </c>
      <c r="E38" s="205">
        <f t="shared" si="37"/>
        <v>0</v>
      </c>
      <c r="F38" s="206">
        <f t="shared" ref="F38:AG38" si="44">+F18*F$65</f>
        <v>0</v>
      </c>
      <c r="G38" s="206">
        <f t="shared" si="44"/>
        <v>0</v>
      </c>
      <c r="H38" s="206">
        <f t="shared" si="44"/>
        <v>0</v>
      </c>
      <c r="I38" s="206">
        <f t="shared" si="44"/>
        <v>0</v>
      </c>
      <c r="J38" s="206">
        <f t="shared" si="44"/>
        <v>0</v>
      </c>
      <c r="K38" s="206">
        <f t="shared" si="44"/>
        <v>0</v>
      </c>
      <c r="L38" s="206">
        <f t="shared" si="44"/>
        <v>0</v>
      </c>
      <c r="M38" s="206">
        <f t="shared" si="44"/>
        <v>0</v>
      </c>
      <c r="N38" s="206">
        <f t="shared" si="44"/>
        <v>0</v>
      </c>
      <c r="O38" s="206">
        <f t="shared" si="44"/>
        <v>0</v>
      </c>
      <c r="P38" s="206">
        <f t="shared" si="44"/>
        <v>0</v>
      </c>
      <c r="Q38" s="206">
        <f t="shared" si="44"/>
        <v>0</v>
      </c>
      <c r="R38" s="206">
        <f t="shared" si="44"/>
        <v>0</v>
      </c>
      <c r="S38" s="206">
        <f t="shared" si="44"/>
        <v>0</v>
      </c>
      <c r="T38" s="206">
        <f t="shared" si="44"/>
        <v>0</v>
      </c>
      <c r="U38" s="206">
        <f t="shared" si="44"/>
        <v>0</v>
      </c>
      <c r="V38" s="206">
        <f t="shared" si="44"/>
        <v>0</v>
      </c>
      <c r="W38" s="206">
        <f t="shared" si="44"/>
        <v>0</v>
      </c>
      <c r="X38" s="206">
        <f t="shared" si="44"/>
        <v>0</v>
      </c>
      <c r="Y38" s="206">
        <f t="shared" si="44"/>
        <v>0</v>
      </c>
      <c r="Z38" s="206">
        <f t="shared" si="44"/>
        <v>0</v>
      </c>
      <c r="AA38" s="206">
        <f t="shared" si="44"/>
        <v>0</v>
      </c>
      <c r="AB38" s="206">
        <f t="shared" si="44"/>
        <v>0</v>
      </c>
      <c r="AC38" s="206">
        <f t="shared" si="44"/>
        <v>0</v>
      </c>
      <c r="AD38" s="206">
        <f t="shared" si="44"/>
        <v>0</v>
      </c>
      <c r="AE38" s="206">
        <f t="shared" si="44"/>
        <v>0</v>
      </c>
      <c r="AF38" s="206">
        <f t="shared" si="44"/>
        <v>0</v>
      </c>
      <c r="AG38" s="207">
        <f t="shared" si="44"/>
        <v>0</v>
      </c>
      <c r="AI38" s="219">
        <f t="shared" si="32"/>
        <v>0</v>
      </c>
      <c r="AJ38" s="184"/>
    </row>
    <row r="39" spans="1:36" ht="15">
      <c r="A39" s="256"/>
      <c r="B39" s="29" t="s">
        <v>192</v>
      </c>
      <c r="E39" s="208">
        <f t="shared" si="37"/>
        <v>24835.399999999998</v>
      </c>
      <c r="F39" s="209">
        <f t="shared" ref="F39:AG39" si="45">+F19*F$65</f>
        <v>24835.399999999998</v>
      </c>
      <c r="G39" s="209">
        <f t="shared" si="45"/>
        <v>24835.399999999998</v>
      </c>
      <c r="H39" s="209">
        <f t="shared" si="45"/>
        <v>24835.399999999998</v>
      </c>
      <c r="I39" s="209">
        <f t="shared" si="45"/>
        <v>24835.399999999998</v>
      </c>
      <c r="J39" s="209">
        <f t="shared" si="45"/>
        <v>24835.399999999998</v>
      </c>
      <c r="K39" s="209">
        <f t="shared" si="45"/>
        <v>24835.399999999998</v>
      </c>
      <c r="L39" s="209">
        <f t="shared" si="45"/>
        <v>24835.399999999998</v>
      </c>
      <c r="M39" s="209">
        <f t="shared" si="45"/>
        <v>24835.399999999998</v>
      </c>
      <c r="N39" s="209">
        <f t="shared" si="45"/>
        <v>24835.399999999998</v>
      </c>
      <c r="O39" s="209">
        <f t="shared" si="45"/>
        <v>24835.399999999998</v>
      </c>
      <c r="P39" s="209">
        <f t="shared" si="45"/>
        <v>24835.399999999998</v>
      </c>
      <c r="Q39" s="209">
        <f t="shared" si="45"/>
        <v>24835.399999999998</v>
      </c>
      <c r="R39" s="209">
        <f t="shared" si="45"/>
        <v>24835.399999999998</v>
      </c>
      <c r="S39" s="209">
        <f t="shared" si="45"/>
        <v>24835.399999999998</v>
      </c>
      <c r="T39" s="209">
        <f t="shared" si="45"/>
        <v>24835.399999999998</v>
      </c>
      <c r="U39" s="209">
        <f t="shared" si="45"/>
        <v>0</v>
      </c>
      <c r="V39" s="209">
        <f t="shared" si="45"/>
        <v>0</v>
      </c>
      <c r="W39" s="209">
        <f t="shared" si="45"/>
        <v>0</v>
      </c>
      <c r="X39" s="209">
        <f t="shared" si="45"/>
        <v>0</v>
      </c>
      <c r="Y39" s="209">
        <f t="shared" si="45"/>
        <v>0</v>
      </c>
      <c r="Z39" s="209">
        <f t="shared" si="45"/>
        <v>0</v>
      </c>
      <c r="AA39" s="209">
        <f t="shared" si="45"/>
        <v>0</v>
      </c>
      <c r="AB39" s="209">
        <f t="shared" si="45"/>
        <v>0</v>
      </c>
      <c r="AC39" s="209">
        <f t="shared" si="45"/>
        <v>0</v>
      </c>
      <c r="AD39" s="209">
        <f t="shared" si="45"/>
        <v>0</v>
      </c>
      <c r="AE39" s="209">
        <f t="shared" si="45"/>
        <v>0</v>
      </c>
      <c r="AF39" s="209">
        <f t="shared" si="45"/>
        <v>0</v>
      </c>
      <c r="AG39" s="210">
        <f t="shared" si="45"/>
        <v>0</v>
      </c>
      <c r="AI39" s="220">
        <f t="shared" si="32"/>
        <v>397366.40000000008</v>
      </c>
      <c r="AJ39" s="184"/>
    </row>
    <row r="40" spans="1:36" ht="15">
      <c r="A40" s="74" t="s">
        <v>195</v>
      </c>
      <c r="B40" s="75" t="s">
        <v>196</v>
      </c>
      <c r="E40" s="211">
        <f t="shared" si="37"/>
        <v>2178.7857599999993</v>
      </c>
      <c r="F40" s="212">
        <f t="shared" ref="F40:AG40" si="46">+F20*F$65</f>
        <v>2178.7857599999993</v>
      </c>
      <c r="G40" s="212">
        <f t="shared" si="46"/>
        <v>2178.7857599999993</v>
      </c>
      <c r="H40" s="212">
        <f t="shared" si="46"/>
        <v>2178.7857599999993</v>
      </c>
      <c r="I40" s="212">
        <f t="shared" si="46"/>
        <v>2178.7857599999993</v>
      </c>
      <c r="J40" s="212">
        <f t="shared" si="46"/>
        <v>2178.7857599999993</v>
      </c>
      <c r="K40" s="212">
        <f t="shared" si="46"/>
        <v>2178.7857599999993</v>
      </c>
      <c r="L40" s="212">
        <f t="shared" si="46"/>
        <v>2178.7857599999993</v>
      </c>
      <c r="M40" s="212">
        <f t="shared" si="46"/>
        <v>2178.7857599999993</v>
      </c>
      <c r="N40" s="212">
        <f t="shared" si="46"/>
        <v>2178.7857599999993</v>
      </c>
      <c r="O40" s="212">
        <f t="shared" si="46"/>
        <v>2178.7857599999993</v>
      </c>
      <c r="P40" s="212">
        <f t="shared" si="46"/>
        <v>2178.7857599999993</v>
      </c>
      <c r="Q40" s="212">
        <f t="shared" si="46"/>
        <v>2178.7857599999993</v>
      </c>
      <c r="R40" s="212">
        <f t="shared" si="46"/>
        <v>2178.7857599999993</v>
      </c>
      <c r="S40" s="212">
        <f t="shared" si="46"/>
        <v>2178.7857599999993</v>
      </c>
      <c r="T40" s="212">
        <f t="shared" si="46"/>
        <v>2178.7857599999993</v>
      </c>
      <c r="U40" s="212">
        <f t="shared" si="46"/>
        <v>0</v>
      </c>
      <c r="V40" s="212">
        <f t="shared" si="46"/>
        <v>0</v>
      </c>
      <c r="W40" s="212">
        <f t="shared" si="46"/>
        <v>0</v>
      </c>
      <c r="X40" s="212">
        <f t="shared" si="46"/>
        <v>0</v>
      </c>
      <c r="Y40" s="212">
        <f t="shared" si="46"/>
        <v>0</v>
      </c>
      <c r="Z40" s="212">
        <f t="shared" si="46"/>
        <v>0</v>
      </c>
      <c r="AA40" s="212">
        <f t="shared" si="46"/>
        <v>0</v>
      </c>
      <c r="AB40" s="212">
        <f t="shared" si="46"/>
        <v>0</v>
      </c>
      <c r="AC40" s="212">
        <f t="shared" si="46"/>
        <v>0</v>
      </c>
      <c r="AD40" s="212">
        <f t="shared" si="46"/>
        <v>0</v>
      </c>
      <c r="AE40" s="212">
        <f t="shared" si="46"/>
        <v>0</v>
      </c>
      <c r="AF40" s="212">
        <f t="shared" si="46"/>
        <v>0</v>
      </c>
      <c r="AG40" s="213">
        <f t="shared" si="46"/>
        <v>0</v>
      </c>
      <c r="AI40" s="221">
        <f t="shared" si="32"/>
        <v>34860.572159999989</v>
      </c>
      <c r="AJ40" s="184"/>
    </row>
    <row r="41" spans="1:36" ht="14.45" customHeight="1">
      <c r="B41" s="180" t="s">
        <v>227</v>
      </c>
      <c r="C41" s="185"/>
      <c r="E41" s="222">
        <f>SUM(E27:E40)</f>
        <v>195497.36143567567</v>
      </c>
      <c r="F41" s="222">
        <f t="shared" ref="F41:AG41" si="47">SUM(F27:F40)</f>
        <v>37565.71167063342</v>
      </c>
      <c r="G41" s="222">
        <f t="shared" si="47"/>
        <v>37121.112412639894</v>
      </c>
      <c r="H41" s="222">
        <f t="shared" si="47"/>
        <v>36663.175176906567</v>
      </c>
      <c r="I41" s="222">
        <f t="shared" si="47"/>
        <v>36191.499824101236</v>
      </c>
      <c r="J41" s="222">
        <f t="shared" si="47"/>
        <v>35705.674210711753</v>
      </c>
      <c r="K41" s="222">
        <f t="shared" si="47"/>
        <v>35205.273828920581</v>
      </c>
      <c r="L41" s="222">
        <f t="shared" si="47"/>
        <v>34689.861435675673</v>
      </c>
      <c r="M41" s="222">
        <f t="shared" si="47"/>
        <v>34689.861435675673</v>
      </c>
      <c r="N41" s="222">
        <f t="shared" si="47"/>
        <v>34689.861435675673</v>
      </c>
      <c r="O41" s="222">
        <f t="shared" si="47"/>
        <v>34689.861435675673</v>
      </c>
      <c r="P41" s="222">
        <f t="shared" si="47"/>
        <v>34689.861435675673</v>
      </c>
      <c r="Q41" s="222">
        <f t="shared" si="47"/>
        <v>34689.861435675673</v>
      </c>
      <c r="R41" s="222">
        <f t="shared" si="47"/>
        <v>34689.861435675673</v>
      </c>
      <c r="S41" s="222">
        <f t="shared" si="47"/>
        <v>34689.861435675673</v>
      </c>
      <c r="T41" s="222">
        <f t="shared" si="47"/>
        <v>34689.861435675673</v>
      </c>
      <c r="U41" s="222">
        <f t="shared" si="47"/>
        <v>0</v>
      </c>
      <c r="V41" s="222">
        <f t="shared" si="47"/>
        <v>0</v>
      </c>
      <c r="W41" s="222">
        <f t="shared" si="47"/>
        <v>0</v>
      </c>
      <c r="X41" s="222">
        <f t="shared" si="47"/>
        <v>0</v>
      </c>
      <c r="Y41" s="222">
        <f t="shared" si="47"/>
        <v>0</v>
      </c>
      <c r="Z41" s="222">
        <f t="shared" si="47"/>
        <v>0</v>
      </c>
      <c r="AA41" s="222">
        <f t="shared" si="47"/>
        <v>0</v>
      </c>
      <c r="AB41" s="222">
        <f t="shared" si="47"/>
        <v>0</v>
      </c>
      <c r="AC41" s="222">
        <f t="shared" si="47"/>
        <v>0</v>
      </c>
      <c r="AD41" s="222">
        <f t="shared" si="47"/>
        <v>0</v>
      </c>
      <c r="AE41" s="222">
        <f t="shared" si="47"/>
        <v>0</v>
      </c>
      <c r="AF41" s="222">
        <f t="shared" si="47"/>
        <v>0</v>
      </c>
      <c r="AG41" s="222">
        <f t="shared" si="47"/>
        <v>0</v>
      </c>
      <c r="AH41" s="184"/>
      <c r="AI41" s="223">
        <f>+SUM(E41:AG41)</f>
        <v>726158.56148066989</v>
      </c>
    </row>
    <row r="42" spans="1:36" ht="14.45" customHeight="1"/>
    <row r="43" spans="1:36" ht="14.45" customHeight="1"/>
    <row r="44" spans="1:36" ht="14.45" customHeight="1"/>
    <row r="45" spans="1:36" ht="14.45" customHeight="1">
      <c r="A45" s="273" t="s">
        <v>231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</row>
    <row r="46" spans="1:36" ht="14.45" customHeight="1">
      <c r="A46" s="57"/>
      <c r="E46" s="181">
        <v>0</v>
      </c>
      <c r="F46" s="181">
        <v>1</v>
      </c>
      <c r="G46" s="181">
        <v>2</v>
      </c>
      <c r="H46" s="181">
        <v>3</v>
      </c>
      <c r="I46" s="181">
        <v>4</v>
      </c>
      <c r="J46" s="181">
        <v>5</v>
      </c>
      <c r="K46" s="181">
        <v>6</v>
      </c>
      <c r="L46" s="181">
        <v>7</v>
      </c>
      <c r="M46" s="181">
        <v>8</v>
      </c>
      <c r="N46" s="181">
        <v>9</v>
      </c>
      <c r="O46" s="181">
        <v>10</v>
      </c>
      <c r="P46" s="181">
        <v>11</v>
      </c>
      <c r="Q46" s="181">
        <v>12</v>
      </c>
      <c r="R46" s="181">
        <v>13</v>
      </c>
      <c r="S46" s="181">
        <v>14</v>
      </c>
      <c r="T46" s="181">
        <v>15</v>
      </c>
      <c r="U46" s="181">
        <v>16</v>
      </c>
      <c r="V46" s="181">
        <v>17</v>
      </c>
      <c r="W46" s="181">
        <v>18</v>
      </c>
      <c r="X46" s="181">
        <v>19</v>
      </c>
      <c r="Y46" s="181">
        <v>20</v>
      </c>
      <c r="Z46" s="181">
        <v>21</v>
      </c>
      <c r="AA46" s="181">
        <v>22</v>
      </c>
      <c r="AB46" s="181">
        <v>23</v>
      </c>
      <c r="AC46" s="181">
        <v>24</v>
      </c>
      <c r="AD46" s="181">
        <v>25</v>
      </c>
      <c r="AE46" s="181">
        <v>26</v>
      </c>
      <c r="AF46" s="181">
        <v>27</v>
      </c>
      <c r="AG46" s="181">
        <v>28</v>
      </c>
    </row>
    <row r="47" spans="1:36" ht="14.45" customHeight="1">
      <c r="A47" s="271" t="s">
        <v>226</v>
      </c>
      <c r="B47" s="271"/>
      <c r="C47" s="180" t="s">
        <v>19</v>
      </c>
      <c r="E47" s="182">
        <v>2022</v>
      </c>
      <c r="F47" s="182">
        <f>+E47+1</f>
        <v>2023</v>
      </c>
      <c r="G47" s="183">
        <f t="shared" ref="G47:AG47" si="48">+F47+1</f>
        <v>2024</v>
      </c>
      <c r="H47" s="183">
        <f t="shared" si="48"/>
        <v>2025</v>
      </c>
      <c r="I47" s="183">
        <f t="shared" si="48"/>
        <v>2026</v>
      </c>
      <c r="J47" s="183">
        <f t="shared" si="48"/>
        <v>2027</v>
      </c>
      <c r="K47" s="183">
        <f t="shared" si="48"/>
        <v>2028</v>
      </c>
      <c r="L47" s="183">
        <f t="shared" si="48"/>
        <v>2029</v>
      </c>
      <c r="M47" s="183">
        <f t="shared" si="48"/>
        <v>2030</v>
      </c>
      <c r="N47" s="183">
        <f t="shared" si="48"/>
        <v>2031</v>
      </c>
      <c r="O47" s="183">
        <f t="shared" si="48"/>
        <v>2032</v>
      </c>
      <c r="P47" s="183">
        <f t="shared" si="48"/>
        <v>2033</v>
      </c>
      <c r="Q47" s="183">
        <f t="shared" si="48"/>
        <v>2034</v>
      </c>
      <c r="R47" s="183">
        <f t="shared" si="48"/>
        <v>2035</v>
      </c>
      <c r="S47" s="183">
        <f t="shared" si="48"/>
        <v>2036</v>
      </c>
      <c r="T47" s="183">
        <f t="shared" si="48"/>
        <v>2037</v>
      </c>
      <c r="U47" s="183">
        <f t="shared" si="48"/>
        <v>2038</v>
      </c>
      <c r="V47" s="183">
        <f t="shared" si="48"/>
        <v>2039</v>
      </c>
      <c r="W47" s="183">
        <f t="shared" si="48"/>
        <v>2040</v>
      </c>
      <c r="X47" s="183">
        <f t="shared" si="48"/>
        <v>2041</v>
      </c>
      <c r="Y47" s="183">
        <f t="shared" si="48"/>
        <v>2042</v>
      </c>
      <c r="Z47" s="183">
        <f t="shared" si="48"/>
        <v>2043</v>
      </c>
      <c r="AA47" s="183">
        <f t="shared" si="48"/>
        <v>2044</v>
      </c>
      <c r="AB47" s="183">
        <f t="shared" si="48"/>
        <v>2045</v>
      </c>
      <c r="AC47" s="183">
        <f t="shared" si="48"/>
        <v>2046</v>
      </c>
      <c r="AD47" s="183">
        <f t="shared" si="48"/>
        <v>2047</v>
      </c>
      <c r="AE47" s="183">
        <f t="shared" si="48"/>
        <v>2048</v>
      </c>
      <c r="AF47" s="183">
        <f t="shared" si="48"/>
        <v>2049</v>
      </c>
      <c r="AG47" s="183">
        <f t="shared" si="48"/>
        <v>2050</v>
      </c>
      <c r="AI47" s="183" t="s">
        <v>227</v>
      </c>
    </row>
    <row r="48" spans="1:36" ht="14.45" customHeight="1">
      <c r="A48" s="254" t="s">
        <v>182</v>
      </c>
      <c r="B48" s="28" t="s">
        <v>183</v>
      </c>
      <c r="C48" s="185"/>
      <c r="E48" s="191">
        <f>CTP!$E$3</f>
        <v>300000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2">
        <v>0</v>
      </c>
      <c r="T48" s="192">
        <v>0</v>
      </c>
      <c r="U48" s="192">
        <v>0</v>
      </c>
      <c r="V48" s="192">
        <v>0</v>
      </c>
      <c r="W48" s="192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2">
        <v>0</v>
      </c>
      <c r="AD48" s="192">
        <v>0</v>
      </c>
      <c r="AE48" s="192">
        <v>0</v>
      </c>
      <c r="AF48" s="192">
        <v>0</v>
      </c>
      <c r="AG48" s="193">
        <v>0</v>
      </c>
      <c r="AH48" s="184"/>
      <c r="AI48" s="214">
        <f>+SUM(E48:AG48)</f>
        <v>300000</v>
      </c>
    </row>
    <row r="49" spans="1:35" ht="14.45" customHeight="1">
      <c r="A49" s="255"/>
      <c r="B49" s="30" t="s">
        <v>28</v>
      </c>
      <c r="C49" s="185"/>
      <c r="E49" s="194">
        <f>CTP!$E$4</f>
        <v>12100</v>
      </c>
      <c r="F49" s="195">
        <v>0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5">
        <v>0</v>
      </c>
      <c r="P49" s="195">
        <v>0</v>
      </c>
      <c r="Q49" s="195">
        <v>0</v>
      </c>
      <c r="R49" s="195">
        <v>0</v>
      </c>
      <c r="S49" s="195">
        <v>0</v>
      </c>
      <c r="T49" s="195">
        <v>0</v>
      </c>
      <c r="U49" s="195">
        <v>0</v>
      </c>
      <c r="V49" s="195">
        <v>0</v>
      </c>
      <c r="W49" s="195">
        <v>0</v>
      </c>
      <c r="X49" s="195">
        <v>0</v>
      </c>
      <c r="Y49" s="195">
        <v>0</v>
      </c>
      <c r="Z49" s="195">
        <v>0</v>
      </c>
      <c r="AA49" s="195">
        <v>0</v>
      </c>
      <c r="AB49" s="195">
        <v>0</v>
      </c>
      <c r="AC49" s="195">
        <v>0</v>
      </c>
      <c r="AD49" s="195">
        <v>0</v>
      </c>
      <c r="AE49" s="195">
        <v>0</v>
      </c>
      <c r="AF49" s="195">
        <v>0</v>
      </c>
      <c r="AG49" s="196">
        <v>0</v>
      </c>
      <c r="AH49" s="184"/>
      <c r="AI49" s="215">
        <f t="shared" ref="AI49:AI61" si="49">+SUM(E49:AG49)</f>
        <v>12100</v>
      </c>
    </row>
    <row r="50" spans="1:35" ht="14.45" customHeight="1">
      <c r="A50" s="255"/>
      <c r="B50" s="30" t="s">
        <v>184</v>
      </c>
      <c r="C50" s="185"/>
      <c r="E50" s="194">
        <f>CTP!$E$5</f>
        <v>2000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5">
        <v>0</v>
      </c>
      <c r="R50" s="195">
        <v>0</v>
      </c>
      <c r="S50" s="195">
        <v>0</v>
      </c>
      <c r="T50" s="195">
        <v>0</v>
      </c>
      <c r="U50" s="195">
        <v>0</v>
      </c>
      <c r="V50" s="195">
        <v>0</v>
      </c>
      <c r="W50" s="195">
        <v>0</v>
      </c>
      <c r="X50" s="195">
        <v>0</v>
      </c>
      <c r="Y50" s="195">
        <v>0</v>
      </c>
      <c r="Z50" s="195">
        <v>0</v>
      </c>
      <c r="AA50" s="195">
        <v>0</v>
      </c>
      <c r="AB50" s="195">
        <v>0</v>
      </c>
      <c r="AC50" s="195">
        <v>0</v>
      </c>
      <c r="AD50" s="195">
        <v>0</v>
      </c>
      <c r="AE50" s="195">
        <v>0</v>
      </c>
      <c r="AF50" s="195">
        <v>0</v>
      </c>
      <c r="AG50" s="196">
        <v>0</v>
      </c>
      <c r="AH50" s="184"/>
      <c r="AI50" s="215">
        <f t="shared" si="49"/>
        <v>2000</v>
      </c>
    </row>
    <row r="51" spans="1:35" ht="14.45" customHeight="1">
      <c r="A51" s="255"/>
      <c r="B51" s="30" t="s">
        <v>185</v>
      </c>
      <c r="C51" s="185"/>
      <c r="E51" s="194">
        <f>CTP!$E$6</f>
        <v>7500</v>
      </c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5">
        <v>0</v>
      </c>
      <c r="T51" s="195">
        <v>0</v>
      </c>
      <c r="U51" s="195">
        <v>0</v>
      </c>
      <c r="V51" s="195">
        <v>0</v>
      </c>
      <c r="W51" s="195">
        <v>0</v>
      </c>
      <c r="X51" s="195">
        <v>0</v>
      </c>
      <c r="Y51" s="195">
        <v>0</v>
      </c>
      <c r="Z51" s="195">
        <v>0</v>
      </c>
      <c r="AA51" s="195">
        <v>0</v>
      </c>
      <c r="AB51" s="195">
        <v>0</v>
      </c>
      <c r="AC51" s="195">
        <v>0</v>
      </c>
      <c r="AD51" s="195">
        <v>0</v>
      </c>
      <c r="AE51" s="195">
        <v>0</v>
      </c>
      <c r="AF51" s="195">
        <v>0</v>
      </c>
      <c r="AG51" s="196">
        <v>0</v>
      </c>
      <c r="AH51" s="184"/>
      <c r="AI51" s="215">
        <f t="shared" si="49"/>
        <v>7500</v>
      </c>
    </row>
    <row r="52" spans="1:35" ht="14.45" customHeight="1">
      <c r="A52" s="256"/>
      <c r="B52" s="29" t="s">
        <v>186</v>
      </c>
      <c r="C52" s="185"/>
      <c r="E52" s="197">
        <v>0</v>
      </c>
      <c r="F52" s="198">
        <v>0</v>
      </c>
      <c r="G52" s="198">
        <v>0</v>
      </c>
      <c r="H52" s="198">
        <v>0</v>
      </c>
      <c r="I52" s="198">
        <v>0</v>
      </c>
      <c r="J52" s="198">
        <v>0</v>
      </c>
      <c r="K52" s="198">
        <v>0</v>
      </c>
      <c r="L52" s="198">
        <v>0</v>
      </c>
      <c r="M52" s="198">
        <f>CTP!$E$7</f>
        <v>18000.000000000004</v>
      </c>
      <c r="N52" s="198">
        <v>0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198">
        <v>0</v>
      </c>
      <c r="U52" s="198">
        <v>0</v>
      </c>
      <c r="V52" s="198">
        <v>0</v>
      </c>
      <c r="W52" s="198">
        <v>0</v>
      </c>
      <c r="X52" s="198">
        <v>0</v>
      </c>
      <c r="Y52" s="198">
        <v>0</v>
      </c>
      <c r="Z52" s="198">
        <v>0</v>
      </c>
      <c r="AA52" s="198">
        <v>0</v>
      </c>
      <c r="AB52" s="198">
        <v>0</v>
      </c>
      <c r="AC52" s="198">
        <v>0</v>
      </c>
      <c r="AD52" s="198">
        <v>0</v>
      </c>
      <c r="AE52" s="198">
        <v>0</v>
      </c>
      <c r="AF52" s="198">
        <v>0</v>
      </c>
      <c r="AG52" s="199">
        <v>0</v>
      </c>
      <c r="AH52" s="184"/>
      <c r="AI52" s="216">
        <f t="shared" si="49"/>
        <v>18000.000000000004</v>
      </c>
    </row>
    <row r="53" spans="1:35" ht="14.45" customHeight="1">
      <c r="A53" s="254" t="s">
        <v>187</v>
      </c>
      <c r="B53" s="118" t="s">
        <v>156</v>
      </c>
      <c r="C53" s="185"/>
      <c r="E53" s="191">
        <f>CTP!$E$8</f>
        <v>15000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0</v>
      </c>
      <c r="AA53" s="192">
        <v>0</v>
      </c>
      <c r="AB53" s="192">
        <v>0</v>
      </c>
      <c r="AC53" s="192">
        <v>0</v>
      </c>
      <c r="AD53" s="192">
        <v>0</v>
      </c>
      <c r="AE53" s="192">
        <v>0</v>
      </c>
      <c r="AF53" s="192">
        <v>0</v>
      </c>
      <c r="AG53" s="193">
        <v>0</v>
      </c>
      <c r="AH53" s="184"/>
      <c r="AI53" s="214">
        <f t="shared" si="49"/>
        <v>15000</v>
      </c>
    </row>
    <row r="54" spans="1:35" ht="14.45" customHeight="1">
      <c r="A54" s="255"/>
      <c r="B54" s="118" t="s">
        <v>157</v>
      </c>
      <c r="C54" s="185"/>
      <c r="E54" s="194">
        <f>CTP!$E$9</f>
        <v>0</v>
      </c>
      <c r="F54" s="195">
        <v>0</v>
      </c>
      <c r="G54" s="195">
        <v>0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  <c r="S54" s="195">
        <v>0</v>
      </c>
      <c r="T54" s="195">
        <v>0</v>
      </c>
      <c r="U54" s="195">
        <v>0</v>
      </c>
      <c r="V54" s="195">
        <v>0</v>
      </c>
      <c r="W54" s="195">
        <v>0</v>
      </c>
      <c r="X54" s="195">
        <v>0</v>
      </c>
      <c r="Y54" s="195">
        <v>0</v>
      </c>
      <c r="Z54" s="195">
        <v>0</v>
      </c>
      <c r="AA54" s="195">
        <v>0</v>
      </c>
      <c r="AB54" s="195">
        <v>0</v>
      </c>
      <c r="AC54" s="195">
        <v>0</v>
      </c>
      <c r="AD54" s="195">
        <v>0</v>
      </c>
      <c r="AE54" s="195">
        <v>0</v>
      </c>
      <c r="AF54" s="195">
        <v>0</v>
      </c>
      <c r="AG54" s="196">
        <v>0</v>
      </c>
      <c r="AH54" s="184"/>
      <c r="AI54" s="215">
        <f t="shared" si="49"/>
        <v>0</v>
      </c>
    </row>
    <row r="55" spans="1:35" ht="14.45" customHeight="1">
      <c r="A55" s="255"/>
      <c r="B55" s="118" t="s">
        <v>158</v>
      </c>
      <c r="C55" s="185"/>
      <c r="E55" s="194">
        <f>CTP!$E$10</f>
        <v>0</v>
      </c>
      <c r="F55" s="195">
        <v>0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95">
        <v>0</v>
      </c>
      <c r="Z55" s="195">
        <v>0</v>
      </c>
      <c r="AA55" s="195">
        <v>0</v>
      </c>
      <c r="AB55" s="195">
        <v>0</v>
      </c>
      <c r="AC55" s="195">
        <v>0</v>
      </c>
      <c r="AD55" s="195">
        <v>0</v>
      </c>
      <c r="AE55" s="195">
        <v>0</v>
      </c>
      <c r="AF55" s="195">
        <v>0</v>
      </c>
      <c r="AG55" s="196">
        <v>0</v>
      </c>
      <c r="AH55" s="184"/>
      <c r="AI55" s="215">
        <f t="shared" si="49"/>
        <v>0</v>
      </c>
    </row>
    <row r="56" spans="1:35" ht="14.45" customHeight="1">
      <c r="A56" s="255"/>
      <c r="B56" s="118" t="s">
        <v>159</v>
      </c>
      <c r="C56" s="185"/>
      <c r="E56" s="194">
        <f ca="1">CTP!$F$11</f>
        <v>0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5">
        <v>0</v>
      </c>
      <c r="AC56" s="195">
        <v>0</v>
      </c>
      <c r="AD56" s="195">
        <v>0</v>
      </c>
      <c r="AE56" s="195">
        <v>0</v>
      </c>
      <c r="AF56" s="195">
        <v>0</v>
      </c>
      <c r="AG56" s="196">
        <v>0</v>
      </c>
      <c r="AH56" s="184"/>
      <c r="AI56" s="215">
        <f t="shared" ca="1" si="49"/>
        <v>0</v>
      </c>
    </row>
    <row r="57" spans="1:35" ht="14.45" customHeight="1">
      <c r="A57" s="256"/>
      <c r="B57" s="29" t="s">
        <v>188</v>
      </c>
      <c r="C57" s="185"/>
      <c r="E57" s="197">
        <f>-IPMT(Parametros!$C$77,1,Parametros!$C$75,SUM(CTP!$E$3,CTP!$E$8:$E$11)*Parametros!$C$74)</f>
        <v>6615</v>
      </c>
      <c r="F57" s="224">
        <f>-IPMT(Parametros!$C$77,2,Parametros!$C$75,SUM(CTP!$E$3,CTP!$E$8:$E$11)*Parametros!$C$74)</f>
        <v>5751.7004699154895</v>
      </c>
      <c r="G57" s="224">
        <f>-IPMT(Parametros!$C$77,3,Parametros!$C$75,SUM(CTP!$E$3,CTP!$E$8:$E$11)*Parametros!$C$74)</f>
        <v>4862.5019539284449</v>
      </c>
      <c r="H57" s="224">
        <f>-IPMT(Parametros!$C$77,4,Parametros!$C$75,SUM(CTP!$E$3,CTP!$E$8:$E$11)*Parametros!$C$74)</f>
        <v>3946.6274824617894</v>
      </c>
      <c r="I57" s="224">
        <f>-IPMT(Parametros!$C$77,5,Parametros!$C$75,SUM(CTP!$E$3,CTP!$E$8:$E$11)*Parametros!$C$74)</f>
        <v>3003.2767768511339</v>
      </c>
      <c r="J57" s="224">
        <f>-IPMT(Parametros!$C$77,6,Parametros!$C$75,SUM(CTP!$E$3,CTP!$E$8:$E$11)*Parametros!$C$74)</f>
        <v>2031.6255500721591</v>
      </c>
      <c r="K57" s="224">
        <f>-IPMT(Parametros!$C$77,7,Parametros!$C$75,SUM(CTP!$E$3,CTP!$E$8:$E$11)*Parametros!$C$74)</f>
        <v>1030.8247864898146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5">
        <v>0</v>
      </c>
      <c r="R57" s="195">
        <v>0</v>
      </c>
      <c r="S57" s="195">
        <v>0</v>
      </c>
      <c r="T57" s="195">
        <v>0</v>
      </c>
      <c r="U57" s="195">
        <v>0</v>
      </c>
      <c r="V57" s="195">
        <v>0</v>
      </c>
      <c r="W57" s="195">
        <v>0</v>
      </c>
      <c r="X57" s="195">
        <v>0</v>
      </c>
      <c r="Y57" s="195">
        <v>0</v>
      </c>
      <c r="Z57" s="195">
        <v>0</v>
      </c>
      <c r="AA57" s="195">
        <v>0</v>
      </c>
      <c r="AB57" s="195">
        <v>0</v>
      </c>
      <c r="AC57" s="195">
        <v>0</v>
      </c>
      <c r="AD57" s="195">
        <v>0</v>
      </c>
      <c r="AE57" s="195">
        <v>0</v>
      </c>
      <c r="AF57" s="195">
        <v>0</v>
      </c>
      <c r="AG57" s="196">
        <v>0</v>
      </c>
      <c r="AH57" s="184"/>
      <c r="AI57" s="216">
        <f t="shared" si="49"/>
        <v>27241.557019718832</v>
      </c>
    </row>
    <row r="58" spans="1:35" ht="14.45" customHeight="1">
      <c r="A58" s="254" t="s">
        <v>189</v>
      </c>
      <c r="B58" s="30" t="s">
        <v>190</v>
      </c>
      <c r="C58" s="185"/>
      <c r="E58" s="191">
        <f>(Parametros!$C$21+Parametros!$C$23)*Parametros!$C$52</f>
        <v>2497.2972972972975</v>
      </c>
      <c r="F58" s="192">
        <f>(Parametros!$C$21+Parametros!$C$23)*Parametros!$C$52</f>
        <v>2497.2972972972975</v>
      </c>
      <c r="G58" s="192">
        <f>(Parametros!$C$21+Parametros!$C$23)*Parametros!$C$52</f>
        <v>2497.2972972972975</v>
      </c>
      <c r="H58" s="192">
        <f>(Parametros!$C$21+Parametros!$C$23)*Parametros!$C$52</f>
        <v>2497.2972972972975</v>
      </c>
      <c r="I58" s="192">
        <f>(Parametros!$C$21+Parametros!$C$23)*Parametros!$C$52</f>
        <v>2497.2972972972975</v>
      </c>
      <c r="J58" s="192">
        <f>(Parametros!$C$21+Parametros!$C$23)*Parametros!$C$52</f>
        <v>2497.2972972972975</v>
      </c>
      <c r="K58" s="192">
        <f>(Parametros!$C$21+Parametros!$C$23)*Parametros!$C$52</f>
        <v>2497.2972972972975</v>
      </c>
      <c r="L58" s="192">
        <f>(Parametros!$C$21+Parametros!$C$23)*Parametros!$C$52</f>
        <v>2497.2972972972975</v>
      </c>
      <c r="M58" s="192">
        <f>(Parametros!$C$21+Parametros!$C$23)*Parametros!$C$52</f>
        <v>2497.2972972972975</v>
      </c>
      <c r="N58" s="192">
        <f>(Parametros!$C$21+Parametros!$C$23)*Parametros!$C$52</f>
        <v>2497.2972972972975</v>
      </c>
      <c r="O58" s="192">
        <f>(Parametros!$C$21+Parametros!$C$23)*Parametros!$C$52</f>
        <v>2497.2972972972975</v>
      </c>
      <c r="P58" s="192">
        <f>(Parametros!$C$21+Parametros!$C$23)*Parametros!$C$52</f>
        <v>2497.2972972972975</v>
      </c>
      <c r="Q58" s="192">
        <f>(Parametros!$C$21+Parametros!$C$23)*Parametros!$C$52</f>
        <v>2497.2972972972975</v>
      </c>
      <c r="R58" s="192">
        <f>(Parametros!$C$21+Parametros!$C$23)*Parametros!$C$52</f>
        <v>2497.2972972972975</v>
      </c>
      <c r="S58" s="192">
        <f>(Parametros!$C$21+Parametros!$C$23)*Parametros!$C$52</f>
        <v>2497.2972972972975</v>
      </c>
      <c r="T58" s="192">
        <f>(Parametros!$C$21+Parametros!$C$23)*Parametros!$C$52</f>
        <v>2497.2972972972975</v>
      </c>
      <c r="U58" s="192">
        <v>0</v>
      </c>
      <c r="V58" s="192">
        <v>0</v>
      </c>
      <c r="W58" s="192">
        <v>0</v>
      </c>
      <c r="X58" s="192">
        <v>0</v>
      </c>
      <c r="Y58" s="192">
        <v>0</v>
      </c>
      <c r="Z58" s="192">
        <v>0</v>
      </c>
      <c r="AA58" s="192">
        <v>0</v>
      </c>
      <c r="AB58" s="192">
        <v>0</v>
      </c>
      <c r="AC58" s="192">
        <v>0</v>
      </c>
      <c r="AD58" s="192">
        <v>0</v>
      </c>
      <c r="AE58" s="192">
        <v>0</v>
      </c>
      <c r="AF58" s="192">
        <v>0</v>
      </c>
      <c r="AG58" s="193">
        <v>0</v>
      </c>
      <c r="AH58" s="184"/>
      <c r="AI58" s="214">
        <f>+SUM(E58:AG58)</f>
        <v>39956.75675675676</v>
      </c>
    </row>
    <row r="59" spans="1:35" ht="14.45" customHeight="1">
      <c r="A59" s="255"/>
      <c r="B59" s="30" t="s">
        <v>191</v>
      </c>
      <c r="C59" s="185"/>
      <c r="E59" s="194">
        <f>Parametros!$C$22*SUM(CTP!$E$4:$E$6)</f>
        <v>432</v>
      </c>
      <c r="F59" s="195">
        <f>Parametros!$C$22*SUM(CTP!$E$4:$E$6)</f>
        <v>432</v>
      </c>
      <c r="G59" s="195">
        <f>Parametros!$C$22*SUM(CTP!$E$4:$E$6)</f>
        <v>432</v>
      </c>
      <c r="H59" s="195">
        <f>Parametros!$C$22*SUM(CTP!$E$4:$E$6)</f>
        <v>432</v>
      </c>
      <c r="I59" s="195">
        <f>Parametros!$C$22*SUM(CTP!$E$4:$E$6)</f>
        <v>432</v>
      </c>
      <c r="J59" s="195">
        <f>Parametros!$C$22*SUM(CTP!$E$4:$E$6)</f>
        <v>432</v>
      </c>
      <c r="K59" s="195">
        <f>Parametros!$C$22*SUM(CTP!$E$4:$E$6)</f>
        <v>432</v>
      </c>
      <c r="L59" s="195">
        <f>Parametros!$C$22*SUM(CTP!$E$4:$E$6)</f>
        <v>432</v>
      </c>
      <c r="M59" s="195">
        <f>Parametros!$C$22*SUM(CTP!$E$4:$E$6)</f>
        <v>432</v>
      </c>
      <c r="N59" s="195">
        <f>Parametros!$C$22*SUM(CTP!$E$4:$E$6)</f>
        <v>432</v>
      </c>
      <c r="O59" s="195">
        <f>Parametros!$C$22*SUM(CTP!$E$4:$E$6)</f>
        <v>432</v>
      </c>
      <c r="P59" s="195">
        <f>Parametros!$C$22*SUM(CTP!$E$4:$E$6)</f>
        <v>432</v>
      </c>
      <c r="Q59" s="195">
        <f>Parametros!$C$22*SUM(CTP!$E$4:$E$6)</f>
        <v>432</v>
      </c>
      <c r="R59" s="195">
        <f>Parametros!$C$22*SUM(CTP!$E$4:$E$6)</f>
        <v>432</v>
      </c>
      <c r="S59" s="195">
        <f>Parametros!$C$22*SUM(CTP!$E$4:$E$6)</f>
        <v>432</v>
      </c>
      <c r="T59" s="195">
        <f>Parametros!$C$22*SUM(CTP!$E$4:$E$6)</f>
        <v>432</v>
      </c>
      <c r="U59" s="195">
        <v>0</v>
      </c>
      <c r="V59" s="195">
        <v>0</v>
      </c>
      <c r="W59" s="195">
        <v>0</v>
      </c>
      <c r="X59" s="195">
        <v>0</v>
      </c>
      <c r="Y59" s="195">
        <v>0</v>
      </c>
      <c r="Z59" s="195">
        <v>0</v>
      </c>
      <c r="AA59" s="195">
        <v>0</v>
      </c>
      <c r="AB59" s="195">
        <v>0</v>
      </c>
      <c r="AC59" s="195">
        <v>0</v>
      </c>
      <c r="AD59" s="195">
        <v>0</v>
      </c>
      <c r="AE59" s="195">
        <v>0</v>
      </c>
      <c r="AF59" s="195">
        <v>0</v>
      </c>
      <c r="AG59" s="196">
        <v>0</v>
      </c>
      <c r="AH59" s="184"/>
      <c r="AI59" s="215">
        <f t="shared" si="49"/>
        <v>6912</v>
      </c>
    </row>
    <row r="60" spans="1:35" ht="14.45" customHeight="1">
      <c r="A60" s="256"/>
      <c r="B60" s="29" t="s">
        <v>192</v>
      </c>
      <c r="C60" s="185"/>
      <c r="E60" s="197">
        <f>Parametros!I100</f>
        <v>3975.6972000000001</v>
      </c>
      <c r="F60" s="198">
        <f>Parametros!I101</f>
        <v>3975.6972000000001</v>
      </c>
      <c r="G60" s="198">
        <f>Parametros!I102</f>
        <v>3975.6972000000001</v>
      </c>
      <c r="H60" s="198">
        <f>Parametros!I103</f>
        <v>3975.6972000000001</v>
      </c>
      <c r="I60" s="198">
        <f>Parametros!I104</f>
        <v>3975.6972000000001</v>
      </c>
      <c r="J60" s="198">
        <f>Parametros!I105</f>
        <v>3975.6972000000001</v>
      </c>
      <c r="K60" s="198">
        <f>Parametros!I106</f>
        <v>3975.6972000000001</v>
      </c>
      <c r="L60" s="198">
        <f>Parametros!I107</f>
        <v>3975.6972000000001</v>
      </c>
      <c r="M60" s="198">
        <f>Parametros!I108</f>
        <v>3975.6972000000001</v>
      </c>
      <c r="N60" s="198">
        <f>Parametros!I109</f>
        <v>3975.6972000000001</v>
      </c>
      <c r="O60" s="198">
        <f>Parametros!I110</f>
        <v>3975.6972000000001</v>
      </c>
      <c r="P60" s="198">
        <f>Parametros!I111</f>
        <v>3975.6972000000001</v>
      </c>
      <c r="Q60" s="198">
        <f>Parametros!I112</f>
        <v>3975.6972000000001</v>
      </c>
      <c r="R60" s="198">
        <f>Parametros!I113</f>
        <v>3975.6972000000001</v>
      </c>
      <c r="S60" s="198">
        <f>Parametros!I114</f>
        <v>3975.6972000000001</v>
      </c>
      <c r="T60" s="198">
        <f>Parametros!I115</f>
        <v>3975.6972000000001</v>
      </c>
      <c r="U60" s="198">
        <v>0</v>
      </c>
      <c r="V60" s="198">
        <v>0</v>
      </c>
      <c r="W60" s="198">
        <v>0</v>
      </c>
      <c r="X60" s="198">
        <v>0</v>
      </c>
      <c r="Y60" s="198">
        <v>0</v>
      </c>
      <c r="Z60" s="198">
        <v>0</v>
      </c>
      <c r="AA60" s="198">
        <v>0</v>
      </c>
      <c r="AB60" s="198">
        <v>0</v>
      </c>
      <c r="AC60" s="198">
        <v>0</v>
      </c>
      <c r="AD60" s="198">
        <v>0</v>
      </c>
      <c r="AE60" s="198">
        <v>0</v>
      </c>
      <c r="AF60" s="198">
        <v>0</v>
      </c>
      <c r="AG60" s="199">
        <v>0</v>
      </c>
      <c r="AH60" s="184"/>
      <c r="AI60" s="216">
        <f t="shared" si="49"/>
        <v>63611.155200000016</v>
      </c>
    </row>
    <row r="61" spans="1:35" ht="14.45" customHeight="1">
      <c r="A61" s="74" t="s">
        <v>195</v>
      </c>
      <c r="B61" s="75" t="s">
        <v>196</v>
      </c>
      <c r="C61" s="185"/>
      <c r="E61" s="197">
        <f>(Parametros!$C$152*Parametros!$C$52*Parametros!$C$19/1000)*Parametros!$C$153</f>
        <v>55.200000000000017</v>
      </c>
      <c r="F61" s="198">
        <f>(Parametros!$C$152*Parametros!$C$52*Parametros!$C$19/1000)*Parametros!$C$153</f>
        <v>55.200000000000017</v>
      </c>
      <c r="G61" s="198">
        <f>(Parametros!$C$152*Parametros!$C$52*Parametros!$C$19/1000)*Parametros!$C$153</f>
        <v>55.200000000000017</v>
      </c>
      <c r="H61" s="198">
        <f>(Parametros!$C$152*Parametros!$C$52*Parametros!$C$19/1000)*Parametros!$C$153</f>
        <v>55.200000000000017</v>
      </c>
      <c r="I61" s="198">
        <f>(Parametros!$C$152*Parametros!$C$52*Parametros!$C$19/1000)*Parametros!$C$153</f>
        <v>55.200000000000017</v>
      </c>
      <c r="J61" s="198">
        <f>(Parametros!$C$152*Parametros!$C$52*Parametros!$C$19/1000)*Parametros!$C$153</f>
        <v>55.200000000000017</v>
      </c>
      <c r="K61" s="198">
        <f>(Parametros!$C$152*Parametros!$C$52*Parametros!$C$19/1000)*Parametros!$C$153</f>
        <v>55.200000000000017</v>
      </c>
      <c r="L61" s="198">
        <f>(Parametros!$C$152*Parametros!$C$52*Parametros!$C$19/1000)*Parametros!$C$153</f>
        <v>55.200000000000017</v>
      </c>
      <c r="M61" s="198">
        <f>(Parametros!$C$152*Parametros!$C$52*Parametros!$C$19/1000)*Parametros!$C$153</f>
        <v>55.200000000000017</v>
      </c>
      <c r="N61" s="198">
        <f>(Parametros!$C$152*Parametros!$C$52*Parametros!$C$19/1000)*Parametros!$C$153</f>
        <v>55.200000000000017</v>
      </c>
      <c r="O61" s="198">
        <f>(Parametros!$C$152*Parametros!$C$52*Parametros!$C$19/1000)*Parametros!$C$153</f>
        <v>55.200000000000017</v>
      </c>
      <c r="P61" s="198">
        <f>(Parametros!$C$152*Parametros!$C$52*Parametros!$C$19/1000)*Parametros!$C$153</f>
        <v>55.200000000000017</v>
      </c>
      <c r="Q61" s="198">
        <f>(Parametros!$C$152*Parametros!$C$52*Parametros!$C$19/1000)*Parametros!$C$153</f>
        <v>55.200000000000017</v>
      </c>
      <c r="R61" s="198">
        <f>(Parametros!$C$152*Parametros!$C$52*Parametros!$C$19/1000)*Parametros!$C$153</f>
        <v>55.200000000000017</v>
      </c>
      <c r="S61" s="198">
        <f>(Parametros!$C$152*Parametros!$C$52*Parametros!$C$19/1000)*Parametros!$C$153</f>
        <v>55.200000000000017</v>
      </c>
      <c r="T61" s="198">
        <f>(Parametros!$C$152*Parametros!$C$52*Parametros!$C$19/1000)*Parametros!$C$153</f>
        <v>55.200000000000017</v>
      </c>
      <c r="U61" s="198">
        <v>0</v>
      </c>
      <c r="V61" s="198">
        <v>0</v>
      </c>
      <c r="W61" s="198">
        <v>0</v>
      </c>
      <c r="X61" s="198">
        <v>0</v>
      </c>
      <c r="Y61" s="198">
        <v>0</v>
      </c>
      <c r="Z61" s="198">
        <v>0</v>
      </c>
      <c r="AA61" s="198">
        <v>0</v>
      </c>
      <c r="AB61" s="198">
        <v>0</v>
      </c>
      <c r="AC61" s="198">
        <v>0</v>
      </c>
      <c r="AD61" s="198">
        <v>0</v>
      </c>
      <c r="AE61" s="198">
        <v>0</v>
      </c>
      <c r="AF61" s="198">
        <v>0</v>
      </c>
      <c r="AG61" s="199">
        <v>0</v>
      </c>
      <c r="AH61" s="184"/>
      <c r="AI61" s="217">
        <f t="shared" si="49"/>
        <v>883.20000000000061</v>
      </c>
    </row>
    <row r="62" spans="1:35" ht="14.45" customHeight="1">
      <c r="B62" s="180" t="s">
        <v>227</v>
      </c>
      <c r="C62" s="185"/>
      <c r="E62" s="189">
        <f ca="1">SUM(E48:E61)</f>
        <v>350175.19449729729</v>
      </c>
      <c r="F62" s="189">
        <f t="shared" ref="F62:AG62" si="50">SUM(F48:F61)</f>
        <v>12711.894967212787</v>
      </c>
      <c r="G62" s="189">
        <f t="shared" si="50"/>
        <v>11822.696451225744</v>
      </c>
      <c r="H62" s="189">
        <f t="shared" si="50"/>
        <v>10906.821979759088</v>
      </c>
      <c r="I62" s="189">
        <f t="shared" si="50"/>
        <v>9963.4712741484327</v>
      </c>
      <c r="J62" s="189">
        <f t="shared" si="50"/>
        <v>8991.8200473694578</v>
      </c>
      <c r="K62" s="189">
        <f t="shared" si="50"/>
        <v>7991.0192837871118</v>
      </c>
      <c r="L62" s="189">
        <f t="shared" si="50"/>
        <v>6960.1944972972969</v>
      </c>
      <c r="M62" s="189">
        <f t="shared" si="50"/>
        <v>24960.1944972973</v>
      </c>
      <c r="N62" s="189">
        <f t="shared" si="50"/>
        <v>6960.1944972972969</v>
      </c>
      <c r="O62" s="189">
        <f t="shared" si="50"/>
        <v>6960.1944972972969</v>
      </c>
      <c r="P62" s="189">
        <f t="shared" si="50"/>
        <v>6960.1944972972969</v>
      </c>
      <c r="Q62" s="189">
        <f t="shared" si="50"/>
        <v>6960.1944972972969</v>
      </c>
      <c r="R62" s="189">
        <f t="shared" si="50"/>
        <v>6960.1944972972969</v>
      </c>
      <c r="S62" s="189">
        <f t="shared" si="50"/>
        <v>6960.1944972972969</v>
      </c>
      <c r="T62" s="189">
        <f t="shared" si="50"/>
        <v>6960.1944972972969</v>
      </c>
      <c r="U62" s="189">
        <f t="shared" si="50"/>
        <v>0</v>
      </c>
      <c r="V62" s="189">
        <f t="shared" si="50"/>
        <v>0</v>
      </c>
      <c r="W62" s="189">
        <f t="shared" si="50"/>
        <v>0</v>
      </c>
      <c r="X62" s="189">
        <f t="shared" si="50"/>
        <v>0</v>
      </c>
      <c r="Y62" s="189">
        <f t="shared" si="50"/>
        <v>0</v>
      </c>
      <c r="Z62" s="189">
        <f t="shared" si="50"/>
        <v>0</v>
      </c>
      <c r="AA62" s="189">
        <f t="shared" si="50"/>
        <v>0</v>
      </c>
      <c r="AB62" s="189">
        <f t="shared" si="50"/>
        <v>0</v>
      </c>
      <c r="AC62" s="189">
        <f t="shared" si="50"/>
        <v>0</v>
      </c>
      <c r="AD62" s="189">
        <f t="shared" si="50"/>
        <v>0</v>
      </c>
      <c r="AE62" s="189">
        <f t="shared" si="50"/>
        <v>0</v>
      </c>
      <c r="AF62" s="189">
        <f t="shared" si="50"/>
        <v>0</v>
      </c>
      <c r="AG62" s="189">
        <f t="shared" si="50"/>
        <v>0</v>
      </c>
      <c r="AH62" s="184"/>
      <c r="AI62" s="201">
        <f ca="1">+SUM(E62:AG62)</f>
        <v>493204.66897647548</v>
      </c>
    </row>
    <row r="63" spans="1:35" ht="14.45" customHeight="1">
      <c r="A63" s="184"/>
      <c r="C63" s="185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</row>
    <row r="64" spans="1:35" ht="14.45" customHeight="1">
      <c r="C64" s="185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4"/>
      <c r="AI64" s="184"/>
    </row>
    <row r="65" spans="1:35" ht="14.45" customHeight="1">
      <c r="A65" s="180" t="s">
        <v>229</v>
      </c>
      <c r="E65" s="187">
        <f t="shared" ref="E65:AG65" si="51">1/(1+$C$3)^E46</f>
        <v>1</v>
      </c>
      <c r="F65" s="187">
        <f t="shared" si="51"/>
        <v>1</v>
      </c>
      <c r="G65" s="187">
        <f t="shared" si="51"/>
        <v>1</v>
      </c>
      <c r="H65" s="187">
        <f t="shared" si="51"/>
        <v>1</v>
      </c>
      <c r="I65" s="187">
        <f t="shared" si="51"/>
        <v>1</v>
      </c>
      <c r="J65" s="187">
        <f t="shared" si="51"/>
        <v>1</v>
      </c>
      <c r="K65" s="187">
        <f t="shared" si="51"/>
        <v>1</v>
      </c>
      <c r="L65" s="187">
        <f t="shared" si="51"/>
        <v>1</v>
      </c>
      <c r="M65" s="187">
        <f t="shared" si="51"/>
        <v>1</v>
      </c>
      <c r="N65" s="187">
        <f t="shared" si="51"/>
        <v>1</v>
      </c>
      <c r="O65" s="187">
        <f t="shared" si="51"/>
        <v>1</v>
      </c>
      <c r="P65" s="187">
        <f t="shared" si="51"/>
        <v>1</v>
      </c>
      <c r="Q65" s="187">
        <f t="shared" si="51"/>
        <v>1</v>
      </c>
      <c r="R65" s="187">
        <f t="shared" si="51"/>
        <v>1</v>
      </c>
      <c r="S65" s="187">
        <f t="shared" si="51"/>
        <v>1</v>
      </c>
      <c r="T65" s="187">
        <f t="shared" si="51"/>
        <v>1</v>
      </c>
      <c r="U65" s="187">
        <f t="shared" si="51"/>
        <v>1</v>
      </c>
      <c r="V65" s="187">
        <f t="shared" si="51"/>
        <v>1</v>
      </c>
      <c r="W65" s="187">
        <f t="shared" si="51"/>
        <v>1</v>
      </c>
      <c r="X65" s="187">
        <f t="shared" si="51"/>
        <v>1</v>
      </c>
      <c r="Y65" s="187">
        <f t="shared" si="51"/>
        <v>1</v>
      </c>
      <c r="Z65" s="187">
        <f t="shared" si="51"/>
        <v>1</v>
      </c>
      <c r="AA65" s="187">
        <f t="shared" si="51"/>
        <v>1</v>
      </c>
      <c r="AB65" s="187">
        <f t="shared" si="51"/>
        <v>1</v>
      </c>
      <c r="AC65" s="187">
        <f t="shared" si="51"/>
        <v>1</v>
      </c>
      <c r="AD65" s="187">
        <f t="shared" si="51"/>
        <v>1</v>
      </c>
      <c r="AE65" s="187">
        <f t="shared" si="51"/>
        <v>1</v>
      </c>
      <c r="AF65" s="187">
        <f t="shared" si="51"/>
        <v>1</v>
      </c>
      <c r="AG65" s="187">
        <f t="shared" si="51"/>
        <v>1</v>
      </c>
      <c r="AH65" s="184"/>
      <c r="AI65" s="184"/>
    </row>
    <row r="66" spans="1:35" ht="14.45" customHeight="1">
      <c r="C66" s="188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4"/>
      <c r="AI66" s="184"/>
    </row>
    <row r="67" spans="1:35" ht="14.45" customHeight="1">
      <c r="A67" s="270" t="s">
        <v>230</v>
      </c>
      <c r="B67" s="270"/>
      <c r="C67" s="180" t="s">
        <v>19</v>
      </c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</row>
    <row r="68" spans="1:35" ht="14.45" customHeight="1">
      <c r="A68" s="254" t="s">
        <v>182</v>
      </c>
      <c r="B68" s="28" t="s">
        <v>183</v>
      </c>
      <c r="C68" s="185"/>
      <c r="E68" s="202">
        <f t="shared" ref="E68:AG68" si="52">+E48*E$65</f>
        <v>300000</v>
      </c>
      <c r="F68" s="203">
        <f t="shared" si="52"/>
        <v>0</v>
      </c>
      <c r="G68" s="203">
        <f t="shared" si="52"/>
        <v>0</v>
      </c>
      <c r="H68" s="203">
        <f t="shared" si="52"/>
        <v>0</v>
      </c>
      <c r="I68" s="203">
        <f t="shared" si="52"/>
        <v>0</v>
      </c>
      <c r="J68" s="203">
        <f t="shared" si="52"/>
        <v>0</v>
      </c>
      <c r="K68" s="203">
        <f t="shared" si="52"/>
        <v>0</v>
      </c>
      <c r="L68" s="203">
        <f t="shared" si="52"/>
        <v>0</v>
      </c>
      <c r="M68" s="203">
        <f t="shared" si="52"/>
        <v>0</v>
      </c>
      <c r="N68" s="203">
        <f t="shared" si="52"/>
        <v>0</v>
      </c>
      <c r="O68" s="203">
        <f t="shared" si="52"/>
        <v>0</v>
      </c>
      <c r="P68" s="203">
        <f t="shared" si="52"/>
        <v>0</v>
      </c>
      <c r="Q68" s="203">
        <f t="shared" si="52"/>
        <v>0</v>
      </c>
      <c r="R68" s="203">
        <f t="shared" si="52"/>
        <v>0</v>
      </c>
      <c r="S68" s="203">
        <f t="shared" si="52"/>
        <v>0</v>
      </c>
      <c r="T68" s="203">
        <f t="shared" si="52"/>
        <v>0</v>
      </c>
      <c r="U68" s="203">
        <f t="shared" si="52"/>
        <v>0</v>
      </c>
      <c r="V68" s="203">
        <f t="shared" si="52"/>
        <v>0</v>
      </c>
      <c r="W68" s="203">
        <f t="shared" si="52"/>
        <v>0</v>
      </c>
      <c r="X68" s="203">
        <f t="shared" si="52"/>
        <v>0</v>
      </c>
      <c r="Y68" s="203">
        <f t="shared" si="52"/>
        <v>0</v>
      </c>
      <c r="Z68" s="203">
        <f t="shared" si="52"/>
        <v>0</v>
      </c>
      <c r="AA68" s="203">
        <f t="shared" si="52"/>
        <v>0</v>
      </c>
      <c r="AB68" s="203">
        <f t="shared" si="52"/>
        <v>0</v>
      </c>
      <c r="AC68" s="203">
        <f t="shared" si="52"/>
        <v>0</v>
      </c>
      <c r="AD68" s="203">
        <f t="shared" si="52"/>
        <v>0</v>
      </c>
      <c r="AE68" s="203">
        <f t="shared" si="52"/>
        <v>0</v>
      </c>
      <c r="AF68" s="203">
        <f t="shared" si="52"/>
        <v>0</v>
      </c>
      <c r="AG68" s="204">
        <f t="shared" si="52"/>
        <v>0</v>
      </c>
      <c r="AH68" s="184"/>
      <c r="AI68" s="218">
        <f t="shared" ref="AI68:AI81" si="53">+SUM(E68:AG68)</f>
        <v>300000</v>
      </c>
    </row>
    <row r="69" spans="1:35" ht="14.45" customHeight="1">
      <c r="A69" s="255"/>
      <c r="B69" s="30" t="s">
        <v>28</v>
      </c>
      <c r="C69" s="185"/>
      <c r="E69" s="205">
        <f t="shared" ref="E69:AG69" si="54">+E49*E$65</f>
        <v>12100</v>
      </c>
      <c r="F69" s="206">
        <f t="shared" si="54"/>
        <v>0</v>
      </c>
      <c r="G69" s="206">
        <f t="shared" si="54"/>
        <v>0</v>
      </c>
      <c r="H69" s="206">
        <f t="shared" si="54"/>
        <v>0</v>
      </c>
      <c r="I69" s="206">
        <f t="shared" si="54"/>
        <v>0</v>
      </c>
      <c r="J69" s="206">
        <f t="shared" si="54"/>
        <v>0</v>
      </c>
      <c r="K69" s="206">
        <f t="shared" si="54"/>
        <v>0</v>
      </c>
      <c r="L69" s="206">
        <f t="shared" si="54"/>
        <v>0</v>
      </c>
      <c r="M69" s="206">
        <f t="shared" si="54"/>
        <v>0</v>
      </c>
      <c r="N69" s="206">
        <f t="shared" si="54"/>
        <v>0</v>
      </c>
      <c r="O69" s="206">
        <f t="shared" si="54"/>
        <v>0</v>
      </c>
      <c r="P69" s="206">
        <f t="shared" si="54"/>
        <v>0</v>
      </c>
      <c r="Q69" s="206">
        <f t="shared" si="54"/>
        <v>0</v>
      </c>
      <c r="R69" s="206">
        <f t="shared" si="54"/>
        <v>0</v>
      </c>
      <c r="S69" s="206">
        <f t="shared" si="54"/>
        <v>0</v>
      </c>
      <c r="T69" s="206">
        <f t="shared" si="54"/>
        <v>0</v>
      </c>
      <c r="U69" s="206">
        <f t="shared" si="54"/>
        <v>0</v>
      </c>
      <c r="V69" s="206">
        <f t="shared" si="54"/>
        <v>0</v>
      </c>
      <c r="W69" s="206">
        <f t="shared" si="54"/>
        <v>0</v>
      </c>
      <c r="X69" s="206">
        <f t="shared" si="54"/>
        <v>0</v>
      </c>
      <c r="Y69" s="206">
        <f t="shared" si="54"/>
        <v>0</v>
      </c>
      <c r="Z69" s="206">
        <f t="shared" si="54"/>
        <v>0</v>
      </c>
      <c r="AA69" s="206">
        <f t="shared" si="54"/>
        <v>0</v>
      </c>
      <c r="AB69" s="206">
        <f t="shared" si="54"/>
        <v>0</v>
      </c>
      <c r="AC69" s="206">
        <f t="shared" si="54"/>
        <v>0</v>
      </c>
      <c r="AD69" s="206">
        <f t="shared" si="54"/>
        <v>0</v>
      </c>
      <c r="AE69" s="206">
        <f t="shared" si="54"/>
        <v>0</v>
      </c>
      <c r="AF69" s="206">
        <f t="shared" si="54"/>
        <v>0</v>
      </c>
      <c r="AG69" s="207">
        <f t="shared" si="54"/>
        <v>0</v>
      </c>
      <c r="AH69" s="184"/>
      <c r="AI69" s="219">
        <f t="shared" si="53"/>
        <v>12100</v>
      </c>
    </row>
    <row r="70" spans="1:35" ht="14.45" customHeight="1">
      <c r="A70" s="255"/>
      <c r="B70" s="30" t="s">
        <v>184</v>
      </c>
      <c r="C70" s="185"/>
      <c r="E70" s="205">
        <f t="shared" ref="E70:AG70" si="55">+E50*E$65</f>
        <v>2000</v>
      </c>
      <c r="F70" s="206">
        <f t="shared" si="55"/>
        <v>0</v>
      </c>
      <c r="G70" s="206">
        <f t="shared" si="55"/>
        <v>0</v>
      </c>
      <c r="H70" s="206">
        <f t="shared" si="55"/>
        <v>0</v>
      </c>
      <c r="I70" s="206">
        <f t="shared" si="55"/>
        <v>0</v>
      </c>
      <c r="J70" s="206">
        <f t="shared" si="55"/>
        <v>0</v>
      </c>
      <c r="K70" s="206">
        <f t="shared" si="55"/>
        <v>0</v>
      </c>
      <c r="L70" s="206">
        <f t="shared" si="55"/>
        <v>0</v>
      </c>
      <c r="M70" s="206">
        <f t="shared" si="55"/>
        <v>0</v>
      </c>
      <c r="N70" s="206">
        <f t="shared" si="55"/>
        <v>0</v>
      </c>
      <c r="O70" s="206">
        <f t="shared" si="55"/>
        <v>0</v>
      </c>
      <c r="P70" s="206">
        <f t="shared" si="55"/>
        <v>0</v>
      </c>
      <c r="Q70" s="206">
        <f t="shared" si="55"/>
        <v>0</v>
      </c>
      <c r="R70" s="206">
        <f t="shared" si="55"/>
        <v>0</v>
      </c>
      <c r="S70" s="206">
        <f t="shared" si="55"/>
        <v>0</v>
      </c>
      <c r="T70" s="206">
        <f t="shared" si="55"/>
        <v>0</v>
      </c>
      <c r="U70" s="206">
        <f t="shared" si="55"/>
        <v>0</v>
      </c>
      <c r="V70" s="206">
        <f t="shared" si="55"/>
        <v>0</v>
      </c>
      <c r="W70" s="206">
        <f t="shared" si="55"/>
        <v>0</v>
      </c>
      <c r="X70" s="206">
        <f t="shared" si="55"/>
        <v>0</v>
      </c>
      <c r="Y70" s="206">
        <f t="shared" si="55"/>
        <v>0</v>
      </c>
      <c r="Z70" s="206">
        <f t="shared" si="55"/>
        <v>0</v>
      </c>
      <c r="AA70" s="206">
        <f t="shared" si="55"/>
        <v>0</v>
      </c>
      <c r="AB70" s="206">
        <f t="shared" si="55"/>
        <v>0</v>
      </c>
      <c r="AC70" s="206">
        <f t="shared" si="55"/>
        <v>0</v>
      </c>
      <c r="AD70" s="206">
        <f t="shared" si="55"/>
        <v>0</v>
      </c>
      <c r="AE70" s="206">
        <f t="shared" si="55"/>
        <v>0</v>
      </c>
      <c r="AF70" s="206">
        <f t="shared" si="55"/>
        <v>0</v>
      </c>
      <c r="AG70" s="207">
        <f t="shared" si="55"/>
        <v>0</v>
      </c>
      <c r="AH70" s="184"/>
      <c r="AI70" s="219">
        <f t="shared" si="53"/>
        <v>2000</v>
      </c>
    </row>
    <row r="71" spans="1:35" ht="14.45" customHeight="1">
      <c r="A71" s="255"/>
      <c r="B71" s="30" t="s">
        <v>185</v>
      </c>
      <c r="C71" s="185"/>
      <c r="E71" s="205">
        <f t="shared" ref="E71:AG71" si="56">+E51*E$65</f>
        <v>7500</v>
      </c>
      <c r="F71" s="206">
        <f t="shared" si="56"/>
        <v>0</v>
      </c>
      <c r="G71" s="206">
        <f t="shared" si="56"/>
        <v>0</v>
      </c>
      <c r="H71" s="206">
        <f t="shared" si="56"/>
        <v>0</v>
      </c>
      <c r="I71" s="206">
        <f t="shared" si="56"/>
        <v>0</v>
      </c>
      <c r="J71" s="206">
        <f t="shared" si="56"/>
        <v>0</v>
      </c>
      <c r="K71" s="206">
        <f t="shared" si="56"/>
        <v>0</v>
      </c>
      <c r="L71" s="206">
        <f t="shared" si="56"/>
        <v>0</v>
      </c>
      <c r="M71" s="206">
        <f t="shared" si="56"/>
        <v>0</v>
      </c>
      <c r="N71" s="206">
        <f t="shared" si="56"/>
        <v>0</v>
      </c>
      <c r="O71" s="206">
        <f t="shared" si="56"/>
        <v>0</v>
      </c>
      <c r="P71" s="206">
        <f t="shared" si="56"/>
        <v>0</v>
      </c>
      <c r="Q71" s="206">
        <f t="shared" si="56"/>
        <v>0</v>
      </c>
      <c r="R71" s="206">
        <f t="shared" si="56"/>
        <v>0</v>
      </c>
      <c r="S71" s="206">
        <f t="shared" si="56"/>
        <v>0</v>
      </c>
      <c r="T71" s="206">
        <f t="shared" si="56"/>
        <v>0</v>
      </c>
      <c r="U71" s="206">
        <f t="shared" si="56"/>
        <v>0</v>
      </c>
      <c r="V71" s="206">
        <f t="shared" si="56"/>
        <v>0</v>
      </c>
      <c r="W71" s="206">
        <f t="shared" si="56"/>
        <v>0</v>
      </c>
      <c r="X71" s="206">
        <f t="shared" si="56"/>
        <v>0</v>
      </c>
      <c r="Y71" s="206">
        <f t="shared" si="56"/>
        <v>0</v>
      </c>
      <c r="Z71" s="206">
        <f t="shared" si="56"/>
        <v>0</v>
      </c>
      <c r="AA71" s="206">
        <f t="shared" si="56"/>
        <v>0</v>
      </c>
      <c r="AB71" s="206">
        <f t="shared" si="56"/>
        <v>0</v>
      </c>
      <c r="AC71" s="206">
        <f t="shared" si="56"/>
        <v>0</v>
      </c>
      <c r="AD71" s="206">
        <f t="shared" si="56"/>
        <v>0</v>
      </c>
      <c r="AE71" s="206">
        <f t="shared" si="56"/>
        <v>0</v>
      </c>
      <c r="AF71" s="206">
        <f t="shared" si="56"/>
        <v>0</v>
      </c>
      <c r="AG71" s="207">
        <f t="shared" si="56"/>
        <v>0</v>
      </c>
      <c r="AH71" s="184"/>
      <c r="AI71" s="219">
        <f t="shared" si="53"/>
        <v>7500</v>
      </c>
    </row>
    <row r="72" spans="1:35" ht="14.45" customHeight="1">
      <c r="A72" s="256"/>
      <c r="B72" s="29" t="s">
        <v>186</v>
      </c>
      <c r="C72" s="185"/>
      <c r="E72" s="208">
        <v>0</v>
      </c>
      <c r="F72" s="209">
        <f t="shared" ref="F72:AG72" si="57">+F52*F$65</f>
        <v>0</v>
      </c>
      <c r="G72" s="209">
        <f t="shared" si="57"/>
        <v>0</v>
      </c>
      <c r="H72" s="209">
        <f t="shared" si="57"/>
        <v>0</v>
      </c>
      <c r="I72" s="209">
        <f t="shared" si="57"/>
        <v>0</v>
      </c>
      <c r="J72" s="209">
        <f t="shared" si="57"/>
        <v>0</v>
      </c>
      <c r="K72" s="209">
        <f t="shared" si="57"/>
        <v>0</v>
      </c>
      <c r="L72" s="209">
        <f t="shared" si="57"/>
        <v>0</v>
      </c>
      <c r="M72" s="209">
        <f t="shared" si="57"/>
        <v>18000.000000000004</v>
      </c>
      <c r="N72" s="209">
        <f t="shared" si="57"/>
        <v>0</v>
      </c>
      <c r="O72" s="209">
        <f t="shared" si="57"/>
        <v>0</v>
      </c>
      <c r="P72" s="209">
        <f t="shared" si="57"/>
        <v>0</v>
      </c>
      <c r="Q72" s="209">
        <f t="shared" si="57"/>
        <v>0</v>
      </c>
      <c r="R72" s="209">
        <f t="shared" si="57"/>
        <v>0</v>
      </c>
      <c r="S72" s="209">
        <f t="shared" si="57"/>
        <v>0</v>
      </c>
      <c r="T72" s="209">
        <f t="shared" si="57"/>
        <v>0</v>
      </c>
      <c r="U72" s="209">
        <f t="shared" si="57"/>
        <v>0</v>
      </c>
      <c r="V72" s="209">
        <f t="shared" si="57"/>
        <v>0</v>
      </c>
      <c r="W72" s="209">
        <f t="shared" si="57"/>
        <v>0</v>
      </c>
      <c r="X72" s="209">
        <f t="shared" si="57"/>
        <v>0</v>
      </c>
      <c r="Y72" s="209">
        <f t="shared" si="57"/>
        <v>0</v>
      </c>
      <c r="Z72" s="209">
        <f t="shared" si="57"/>
        <v>0</v>
      </c>
      <c r="AA72" s="209">
        <f t="shared" si="57"/>
        <v>0</v>
      </c>
      <c r="AB72" s="209">
        <f t="shared" si="57"/>
        <v>0</v>
      </c>
      <c r="AC72" s="209">
        <f t="shared" si="57"/>
        <v>0</v>
      </c>
      <c r="AD72" s="209">
        <f t="shared" si="57"/>
        <v>0</v>
      </c>
      <c r="AE72" s="209">
        <f t="shared" si="57"/>
        <v>0</v>
      </c>
      <c r="AF72" s="209">
        <f t="shared" si="57"/>
        <v>0</v>
      </c>
      <c r="AG72" s="210">
        <f t="shared" si="57"/>
        <v>0</v>
      </c>
      <c r="AH72" s="184"/>
      <c r="AI72" s="220">
        <f t="shared" si="53"/>
        <v>18000.000000000004</v>
      </c>
    </row>
    <row r="73" spans="1:35" ht="14.45" customHeight="1">
      <c r="A73" s="254" t="s">
        <v>187</v>
      </c>
      <c r="B73" s="118" t="s">
        <v>156</v>
      </c>
      <c r="C73" s="185"/>
      <c r="E73" s="202">
        <f t="shared" ref="E73:E81" si="58">+E53*E$65</f>
        <v>15000</v>
      </c>
      <c r="F73" s="203">
        <f t="shared" ref="F73:AG73" si="59">+F53*F$65</f>
        <v>0</v>
      </c>
      <c r="G73" s="203">
        <f t="shared" si="59"/>
        <v>0</v>
      </c>
      <c r="H73" s="203">
        <f t="shared" si="59"/>
        <v>0</v>
      </c>
      <c r="I73" s="203">
        <f t="shared" si="59"/>
        <v>0</v>
      </c>
      <c r="J73" s="203">
        <f t="shared" si="59"/>
        <v>0</v>
      </c>
      <c r="K73" s="203">
        <f t="shared" si="59"/>
        <v>0</v>
      </c>
      <c r="L73" s="203">
        <f t="shared" si="59"/>
        <v>0</v>
      </c>
      <c r="M73" s="203">
        <f t="shared" si="59"/>
        <v>0</v>
      </c>
      <c r="N73" s="203">
        <f t="shared" si="59"/>
        <v>0</v>
      </c>
      <c r="O73" s="203">
        <f t="shared" si="59"/>
        <v>0</v>
      </c>
      <c r="P73" s="203">
        <f t="shared" si="59"/>
        <v>0</v>
      </c>
      <c r="Q73" s="203">
        <f t="shared" si="59"/>
        <v>0</v>
      </c>
      <c r="R73" s="203">
        <f t="shared" si="59"/>
        <v>0</v>
      </c>
      <c r="S73" s="203">
        <f t="shared" si="59"/>
        <v>0</v>
      </c>
      <c r="T73" s="203">
        <f t="shared" si="59"/>
        <v>0</v>
      </c>
      <c r="U73" s="203">
        <f t="shared" si="59"/>
        <v>0</v>
      </c>
      <c r="V73" s="203">
        <f t="shared" si="59"/>
        <v>0</v>
      </c>
      <c r="W73" s="203">
        <f t="shared" si="59"/>
        <v>0</v>
      </c>
      <c r="X73" s="203">
        <f t="shared" si="59"/>
        <v>0</v>
      </c>
      <c r="Y73" s="203">
        <f t="shared" si="59"/>
        <v>0</v>
      </c>
      <c r="Z73" s="203">
        <f t="shared" si="59"/>
        <v>0</v>
      </c>
      <c r="AA73" s="203">
        <f t="shared" si="59"/>
        <v>0</v>
      </c>
      <c r="AB73" s="203">
        <f t="shared" si="59"/>
        <v>0</v>
      </c>
      <c r="AC73" s="203">
        <f t="shared" si="59"/>
        <v>0</v>
      </c>
      <c r="AD73" s="203">
        <f t="shared" si="59"/>
        <v>0</v>
      </c>
      <c r="AE73" s="203">
        <f t="shared" si="59"/>
        <v>0</v>
      </c>
      <c r="AF73" s="203">
        <f t="shared" si="59"/>
        <v>0</v>
      </c>
      <c r="AG73" s="204">
        <f t="shared" si="59"/>
        <v>0</v>
      </c>
      <c r="AH73" s="184"/>
      <c r="AI73" s="218">
        <f t="shared" si="53"/>
        <v>15000</v>
      </c>
    </row>
    <row r="74" spans="1:35" ht="14.45" customHeight="1">
      <c r="A74" s="255"/>
      <c r="B74" s="118" t="s">
        <v>157</v>
      </c>
      <c r="C74" s="185"/>
      <c r="E74" s="205">
        <f t="shared" si="58"/>
        <v>0</v>
      </c>
      <c r="F74" s="206">
        <f t="shared" ref="F74:AG74" si="60">+F54*F$65</f>
        <v>0</v>
      </c>
      <c r="G74" s="206">
        <f t="shared" si="60"/>
        <v>0</v>
      </c>
      <c r="H74" s="206">
        <f t="shared" si="60"/>
        <v>0</v>
      </c>
      <c r="I74" s="206">
        <f t="shared" si="60"/>
        <v>0</v>
      </c>
      <c r="J74" s="206">
        <f t="shared" si="60"/>
        <v>0</v>
      </c>
      <c r="K74" s="206">
        <f t="shared" si="60"/>
        <v>0</v>
      </c>
      <c r="L74" s="206">
        <f t="shared" si="60"/>
        <v>0</v>
      </c>
      <c r="M74" s="206">
        <f t="shared" si="60"/>
        <v>0</v>
      </c>
      <c r="N74" s="206">
        <f t="shared" si="60"/>
        <v>0</v>
      </c>
      <c r="O74" s="206">
        <f t="shared" si="60"/>
        <v>0</v>
      </c>
      <c r="P74" s="206">
        <f t="shared" si="60"/>
        <v>0</v>
      </c>
      <c r="Q74" s="206">
        <f t="shared" si="60"/>
        <v>0</v>
      </c>
      <c r="R74" s="206">
        <f t="shared" si="60"/>
        <v>0</v>
      </c>
      <c r="S74" s="206">
        <f t="shared" si="60"/>
        <v>0</v>
      </c>
      <c r="T74" s="206">
        <f t="shared" si="60"/>
        <v>0</v>
      </c>
      <c r="U74" s="206">
        <f t="shared" si="60"/>
        <v>0</v>
      </c>
      <c r="V74" s="206">
        <f t="shared" si="60"/>
        <v>0</v>
      </c>
      <c r="W74" s="206">
        <f t="shared" si="60"/>
        <v>0</v>
      </c>
      <c r="X74" s="206">
        <f t="shared" si="60"/>
        <v>0</v>
      </c>
      <c r="Y74" s="206">
        <f t="shared" si="60"/>
        <v>0</v>
      </c>
      <c r="Z74" s="206">
        <f t="shared" si="60"/>
        <v>0</v>
      </c>
      <c r="AA74" s="206">
        <f t="shared" si="60"/>
        <v>0</v>
      </c>
      <c r="AB74" s="206">
        <f t="shared" si="60"/>
        <v>0</v>
      </c>
      <c r="AC74" s="206">
        <f t="shared" si="60"/>
        <v>0</v>
      </c>
      <c r="AD74" s="206">
        <f t="shared" si="60"/>
        <v>0</v>
      </c>
      <c r="AE74" s="206">
        <f t="shared" si="60"/>
        <v>0</v>
      </c>
      <c r="AF74" s="206">
        <f t="shared" si="60"/>
        <v>0</v>
      </c>
      <c r="AG74" s="207">
        <f t="shared" si="60"/>
        <v>0</v>
      </c>
      <c r="AH74" s="184"/>
      <c r="AI74" s="219">
        <f t="shared" si="53"/>
        <v>0</v>
      </c>
    </row>
    <row r="75" spans="1:35" ht="14.45" customHeight="1">
      <c r="A75" s="255"/>
      <c r="B75" s="118" t="s">
        <v>158</v>
      </c>
      <c r="C75" s="188"/>
      <c r="E75" s="205">
        <f t="shared" si="58"/>
        <v>0</v>
      </c>
      <c r="F75" s="206">
        <f t="shared" ref="F75:AG75" si="61">+F55*F$65</f>
        <v>0</v>
      </c>
      <c r="G75" s="206">
        <f t="shared" si="61"/>
        <v>0</v>
      </c>
      <c r="H75" s="206">
        <f t="shared" si="61"/>
        <v>0</v>
      </c>
      <c r="I75" s="206">
        <f t="shared" si="61"/>
        <v>0</v>
      </c>
      <c r="J75" s="206">
        <f t="shared" si="61"/>
        <v>0</v>
      </c>
      <c r="K75" s="206">
        <f t="shared" si="61"/>
        <v>0</v>
      </c>
      <c r="L75" s="206">
        <f t="shared" si="61"/>
        <v>0</v>
      </c>
      <c r="M75" s="206">
        <f t="shared" si="61"/>
        <v>0</v>
      </c>
      <c r="N75" s="206">
        <f t="shared" si="61"/>
        <v>0</v>
      </c>
      <c r="O75" s="206">
        <f t="shared" si="61"/>
        <v>0</v>
      </c>
      <c r="P75" s="206">
        <f t="shared" si="61"/>
        <v>0</v>
      </c>
      <c r="Q75" s="206">
        <f t="shared" si="61"/>
        <v>0</v>
      </c>
      <c r="R75" s="206">
        <f t="shared" si="61"/>
        <v>0</v>
      </c>
      <c r="S75" s="206">
        <f t="shared" si="61"/>
        <v>0</v>
      </c>
      <c r="T75" s="206">
        <f t="shared" si="61"/>
        <v>0</v>
      </c>
      <c r="U75" s="206">
        <f t="shared" si="61"/>
        <v>0</v>
      </c>
      <c r="V75" s="206">
        <f t="shared" si="61"/>
        <v>0</v>
      </c>
      <c r="W75" s="206">
        <f t="shared" si="61"/>
        <v>0</v>
      </c>
      <c r="X75" s="206">
        <f t="shared" si="61"/>
        <v>0</v>
      </c>
      <c r="Y75" s="206">
        <f t="shared" si="61"/>
        <v>0</v>
      </c>
      <c r="Z75" s="206">
        <f t="shared" si="61"/>
        <v>0</v>
      </c>
      <c r="AA75" s="206">
        <f t="shared" si="61"/>
        <v>0</v>
      </c>
      <c r="AB75" s="206">
        <f t="shared" si="61"/>
        <v>0</v>
      </c>
      <c r="AC75" s="206">
        <f t="shared" si="61"/>
        <v>0</v>
      </c>
      <c r="AD75" s="206">
        <f t="shared" si="61"/>
        <v>0</v>
      </c>
      <c r="AE75" s="206">
        <f t="shared" si="61"/>
        <v>0</v>
      </c>
      <c r="AF75" s="206">
        <f t="shared" si="61"/>
        <v>0</v>
      </c>
      <c r="AG75" s="207">
        <f t="shared" si="61"/>
        <v>0</v>
      </c>
      <c r="AH75" s="184"/>
      <c r="AI75" s="219">
        <f t="shared" si="53"/>
        <v>0</v>
      </c>
    </row>
    <row r="76" spans="1:35" ht="14.45" customHeight="1">
      <c r="A76" s="255"/>
      <c r="B76" s="118" t="s">
        <v>159</v>
      </c>
      <c r="C76" s="188"/>
      <c r="E76" s="205">
        <f t="shared" ca="1" si="58"/>
        <v>0</v>
      </c>
      <c r="F76" s="206">
        <f t="shared" ref="F76:AG76" si="62">+F56*F$65</f>
        <v>0</v>
      </c>
      <c r="G76" s="206">
        <f t="shared" si="62"/>
        <v>0</v>
      </c>
      <c r="H76" s="206">
        <f t="shared" si="62"/>
        <v>0</v>
      </c>
      <c r="I76" s="206">
        <f t="shared" si="62"/>
        <v>0</v>
      </c>
      <c r="J76" s="206">
        <f t="shared" si="62"/>
        <v>0</v>
      </c>
      <c r="K76" s="206">
        <f t="shared" si="62"/>
        <v>0</v>
      </c>
      <c r="L76" s="206">
        <f t="shared" si="62"/>
        <v>0</v>
      </c>
      <c r="M76" s="206">
        <f t="shared" si="62"/>
        <v>0</v>
      </c>
      <c r="N76" s="206">
        <f t="shared" si="62"/>
        <v>0</v>
      </c>
      <c r="O76" s="206">
        <f t="shared" si="62"/>
        <v>0</v>
      </c>
      <c r="P76" s="206">
        <f t="shared" si="62"/>
        <v>0</v>
      </c>
      <c r="Q76" s="206">
        <f t="shared" si="62"/>
        <v>0</v>
      </c>
      <c r="R76" s="206">
        <f t="shared" si="62"/>
        <v>0</v>
      </c>
      <c r="S76" s="206">
        <f t="shared" si="62"/>
        <v>0</v>
      </c>
      <c r="T76" s="206">
        <f t="shared" si="62"/>
        <v>0</v>
      </c>
      <c r="U76" s="206">
        <f t="shared" si="62"/>
        <v>0</v>
      </c>
      <c r="V76" s="206">
        <f t="shared" si="62"/>
        <v>0</v>
      </c>
      <c r="W76" s="206">
        <f t="shared" si="62"/>
        <v>0</v>
      </c>
      <c r="X76" s="206">
        <f t="shared" si="62"/>
        <v>0</v>
      </c>
      <c r="Y76" s="206">
        <f t="shared" si="62"/>
        <v>0</v>
      </c>
      <c r="Z76" s="206">
        <f t="shared" si="62"/>
        <v>0</v>
      </c>
      <c r="AA76" s="206">
        <f t="shared" si="62"/>
        <v>0</v>
      </c>
      <c r="AB76" s="206">
        <f t="shared" si="62"/>
        <v>0</v>
      </c>
      <c r="AC76" s="206">
        <f t="shared" si="62"/>
        <v>0</v>
      </c>
      <c r="AD76" s="206">
        <f t="shared" si="62"/>
        <v>0</v>
      </c>
      <c r="AE76" s="206">
        <f t="shared" si="62"/>
        <v>0</v>
      </c>
      <c r="AF76" s="206">
        <f t="shared" si="62"/>
        <v>0</v>
      </c>
      <c r="AG76" s="207">
        <f t="shared" si="62"/>
        <v>0</v>
      </c>
      <c r="AH76" s="184"/>
      <c r="AI76" s="219">
        <f t="shared" ca="1" si="53"/>
        <v>0</v>
      </c>
    </row>
    <row r="77" spans="1:35" ht="14.45" customHeight="1">
      <c r="A77" s="256"/>
      <c r="B77" s="29" t="s">
        <v>188</v>
      </c>
      <c r="C77" s="188"/>
      <c r="E77" s="208">
        <f t="shared" si="58"/>
        <v>6615</v>
      </c>
      <c r="F77" s="209">
        <f t="shared" ref="F77:AG77" si="63">+F57*F$65</f>
        <v>5751.7004699154895</v>
      </c>
      <c r="G77" s="209">
        <f t="shared" si="63"/>
        <v>4862.5019539284449</v>
      </c>
      <c r="H77" s="209">
        <f t="shared" si="63"/>
        <v>3946.6274824617894</v>
      </c>
      <c r="I77" s="209">
        <f t="shared" si="63"/>
        <v>3003.2767768511339</v>
      </c>
      <c r="J77" s="209">
        <f t="shared" si="63"/>
        <v>2031.6255500721591</v>
      </c>
      <c r="K77" s="209">
        <f t="shared" si="63"/>
        <v>1030.8247864898146</v>
      </c>
      <c r="L77" s="209">
        <f t="shared" si="63"/>
        <v>0</v>
      </c>
      <c r="M77" s="209">
        <f t="shared" si="63"/>
        <v>0</v>
      </c>
      <c r="N77" s="209">
        <f t="shared" si="63"/>
        <v>0</v>
      </c>
      <c r="O77" s="209">
        <f t="shared" si="63"/>
        <v>0</v>
      </c>
      <c r="P77" s="209">
        <f t="shared" si="63"/>
        <v>0</v>
      </c>
      <c r="Q77" s="209">
        <f t="shared" si="63"/>
        <v>0</v>
      </c>
      <c r="R77" s="209">
        <f t="shared" si="63"/>
        <v>0</v>
      </c>
      <c r="S77" s="209">
        <f t="shared" si="63"/>
        <v>0</v>
      </c>
      <c r="T77" s="209">
        <f t="shared" si="63"/>
        <v>0</v>
      </c>
      <c r="U77" s="209">
        <f t="shared" si="63"/>
        <v>0</v>
      </c>
      <c r="V77" s="209">
        <f t="shared" si="63"/>
        <v>0</v>
      </c>
      <c r="W77" s="209">
        <f t="shared" si="63"/>
        <v>0</v>
      </c>
      <c r="X77" s="209">
        <f t="shared" si="63"/>
        <v>0</v>
      </c>
      <c r="Y77" s="209">
        <f t="shared" si="63"/>
        <v>0</v>
      </c>
      <c r="Z77" s="209">
        <f t="shared" si="63"/>
        <v>0</v>
      </c>
      <c r="AA77" s="209">
        <f t="shared" si="63"/>
        <v>0</v>
      </c>
      <c r="AB77" s="209">
        <f t="shared" si="63"/>
        <v>0</v>
      </c>
      <c r="AC77" s="209">
        <f t="shared" si="63"/>
        <v>0</v>
      </c>
      <c r="AD77" s="209">
        <f t="shared" si="63"/>
        <v>0</v>
      </c>
      <c r="AE77" s="209">
        <f t="shared" si="63"/>
        <v>0</v>
      </c>
      <c r="AF77" s="209">
        <f t="shared" si="63"/>
        <v>0</v>
      </c>
      <c r="AG77" s="210">
        <f t="shared" si="63"/>
        <v>0</v>
      </c>
      <c r="AH77" s="184"/>
      <c r="AI77" s="220">
        <f t="shared" si="53"/>
        <v>27241.557019718832</v>
      </c>
    </row>
    <row r="78" spans="1:35" ht="14.45" customHeight="1">
      <c r="A78" s="254" t="s">
        <v>189</v>
      </c>
      <c r="B78" s="30" t="s">
        <v>190</v>
      </c>
      <c r="C78" s="188"/>
      <c r="E78" s="202">
        <f t="shared" si="58"/>
        <v>2497.2972972972975</v>
      </c>
      <c r="F78" s="203">
        <f t="shared" ref="F78:AG78" si="64">+F58*F$65</f>
        <v>2497.2972972972975</v>
      </c>
      <c r="G78" s="203">
        <f t="shared" si="64"/>
        <v>2497.2972972972975</v>
      </c>
      <c r="H78" s="203">
        <f t="shared" si="64"/>
        <v>2497.2972972972975</v>
      </c>
      <c r="I78" s="203">
        <f t="shared" si="64"/>
        <v>2497.2972972972975</v>
      </c>
      <c r="J78" s="203">
        <f t="shared" si="64"/>
        <v>2497.2972972972975</v>
      </c>
      <c r="K78" s="203">
        <f t="shared" si="64"/>
        <v>2497.2972972972975</v>
      </c>
      <c r="L78" s="203">
        <f t="shared" si="64"/>
        <v>2497.2972972972975</v>
      </c>
      <c r="M78" s="203">
        <f t="shared" si="64"/>
        <v>2497.2972972972975</v>
      </c>
      <c r="N78" s="203">
        <f t="shared" si="64"/>
        <v>2497.2972972972975</v>
      </c>
      <c r="O78" s="203">
        <f t="shared" si="64"/>
        <v>2497.2972972972975</v>
      </c>
      <c r="P78" s="203">
        <f t="shared" si="64"/>
        <v>2497.2972972972975</v>
      </c>
      <c r="Q78" s="203">
        <f t="shared" si="64"/>
        <v>2497.2972972972975</v>
      </c>
      <c r="R78" s="203">
        <f t="shared" si="64"/>
        <v>2497.2972972972975</v>
      </c>
      <c r="S78" s="203">
        <f t="shared" si="64"/>
        <v>2497.2972972972975</v>
      </c>
      <c r="T78" s="203">
        <f t="shared" si="64"/>
        <v>2497.2972972972975</v>
      </c>
      <c r="U78" s="203">
        <f t="shared" si="64"/>
        <v>0</v>
      </c>
      <c r="V78" s="203">
        <f t="shared" si="64"/>
        <v>0</v>
      </c>
      <c r="W78" s="203">
        <f t="shared" si="64"/>
        <v>0</v>
      </c>
      <c r="X78" s="203">
        <f t="shared" si="64"/>
        <v>0</v>
      </c>
      <c r="Y78" s="203">
        <f t="shared" si="64"/>
        <v>0</v>
      </c>
      <c r="Z78" s="203">
        <f t="shared" si="64"/>
        <v>0</v>
      </c>
      <c r="AA78" s="203">
        <f t="shared" si="64"/>
        <v>0</v>
      </c>
      <c r="AB78" s="203">
        <f t="shared" si="64"/>
        <v>0</v>
      </c>
      <c r="AC78" s="203">
        <f t="shared" si="64"/>
        <v>0</v>
      </c>
      <c r="AD78" s="203">
        <f t="shared" si="64"/>
        <v>0</v>
      </c>
      <c r="AE78" s="203">
        <f t="shared" si="64"/>
        <v>0</v>
      </c>
      <c r="AF78" s="203">
        <f t="shared" si="64"/>
        <v>0</v>
      </c>
      <c r="AG78" s="204">
        <f t="shared" si="64"/>
        <v>0</v>
      </c>
      <c r="AH78" s="184"/>
      <c r="AI78" s="218">
        <f t="shared" si="53"/>
        <v>39956.75675675676</v>
      </c>
    </row>
    <row r="79" spans="1:35" ht="14.45" customHeight="1">
      <c r="A79" s="255"/>
      <c r="B79" s="30" t="s">
        <v>191</v>
      </c>
      <c r="E79" s="205">
        <f t="shared" si="58"/>
        <v>432</v>
      </c>
      <c r="F79" s="206">
        <f t="shared" ref="F79:AG79" si="65">+F59*F$65</f>
        <v>432</v>
      </c>
      <c r="G79" s="206">
        <f t="shared" si="65"/>
        <v>432</v>
      </c>
      <c r="H79" s="206">
        <f t="shared" si="65"/>
        <v>432</v>
      </c>
      <c r="I79" s="206">
        <f t="shared" si="65"/>
        <v>432</v>
      </c>
      <c r="J79" s="206">
        <f t="shared" si="65"/>
        <v>432</v>
      </c>
      <c r="K79" s="206">
        <f t="shared" si="65"/>
        <v>432</v>
      </c>
      <c r="L79" s="206">
        <f t="shared" si="65"/>
        <v>432</v>
      </c>
      <c r="M79" s="206">
        <f t="shared" si="65"/>
        <v>432</v>
      </c>
      <c r="N79" s="206">
        <f t="shared" si="65"/>
        <v>432</v>
      </c>
      <c r="O79" s="206">
        <f t="shared" si="65"/>
        <v>432</v>
      </c>
      <c r="P79" s="206">
        <f t="shared" si="65"/>
        <v>432</v>
      </c>
      <c r="Q79" s="206">
        <f t="shared" si="65"/>
        <v>432</v>
      </c>
      <c r="R79" s="206">
        <f t="shared" si="65"/>
        <v>432</v>
      </c>
      <c r="S79" s="206">
        <f t="shared" si="65"/>
        <v>432</v>
      </c>
      <c r="T79" s="206">
        <f t="shared" si="65"/>
        <v>432</v>
      </c>
      <c r="U79" s="206">
        <f t="shared" si="65"/>
        <v>0</v>
      </c>
      <c r="V79" s="206">
        <f t="shared" si="65"/>
        <v>0</v>
      </c>
      <c r="W79" s="206">
        <f t="shared" si="65"/>
        <v>0</v>
      </c>
      <c r="X79" s="206">
        <f t="shared" si="65"/>
        <v>0</v>
      </c>
      <c r="Y79" s="206">
        <f t="shared" si="65"/>
        <v>0</v>
      </c>
      <c r="Z79" s="206">
        <f t="shared" si="65"/>
        <v>0</v>
      </c>
      <c r="AA79" s="206">
        <f t="shared" si="65"/>
        <v>0</v>
      </c>
      <c r="AB79" s="206">
        <f t="shared" si="65"/>
        <v>0</v>
      </c>
      <c r="AC79" s="206">
        <f t="shared" si="65"/>
        <v>0</v>
      </c>
      <c r="AD79" s="206">
        <f t="shared" si="65"/>
        <v>0</v>
      </c>
      <c r="AE79" s="206">
        <f t="shared" si="65"/>
        <v>0</v>
      </c>
      <c r="AF79" s="206">
        <f t="shared" si="65"/>
        <v>0</v>
      </c>
      <c r="AG79" s="207">
        <f t="shared" si="65"/>
        <v>0</v>
      </c>
      <c r="AI79" s="219">
        <f t="shared" si="53"/>
        <v>6912</v>
      </c>
    </row>
    <row r="80" spans="1:35" ht="14.45" customHeight="1">
      <c r="A80" s="256"/>
      <c r="B80" s="29" t="s">
        <v>192</v>
      </c>
      <c r="E80" s="208">
        <f t="shared" si="58"/>
        <v>3975.6972000000001</v>
      </c>
      <c r="F80" s="209">
        <f t="shared" ref="F80:AG80" si="66">+F60*F$65</f>
        <v>3975.6972000000001</v>
      </c>
      <c r="G80" s="209">
        <f t="shared" si="66"/>
        <v>3975.6972000000001</v>
      </c>
      <c r="H80" s="209">
        <f t="shared" si="66"/>
        <v>3975.6972000000001</v>
      </c>
      <c r="I80" s="209">
        <f t="shared" si="66"/>
        <v>3975.6972000000001</v>
      </c>
      <c r="J80" s="209">
        <f t="shared" si="66"/>
        <v>3975.6972000000001</v>
      </c>
      <c r="K80" s="209">
        <f t="shared" si="66"/>
        <v>3975.6972000000001</v>
      </c>
      <c r="L80" s="209">
        <f t="shared" si="66"/>
        <v>3975.6972000000001</v>
      </c>
      <c r="M80" s="209">
        <f t="shared" si="66"/>
        <v>3975.6972000000001</v>
      </c>
      <c r="N80" s="209">
        <f t="shared" si="66"/>
        <v>3975.6972000000001</v>
      </c>
      <c r="O80" s="209">
        <f t="shared" si="66"/>
        <v>3975.6972000000001</v>
      </c>
      <c r="P80" s="209">
        <f t="shared" si="66"/>
        <v>3975.6972000000001</v>
      </c>
      <c r="Q80" s="209">
        <f t="shared" si="66"/>
        <v>3975.6972000000001</v>
      </c>
      <c r="R80" s="209">
        <f t="shared" si="66"/>
        <v>3975.6972000000001</v>
      </c>
      <c r="S80" s="209">
        <f t="shared" si="66"/>
        <v>3975.6972000000001</v>
      </c>
      <c r="T80" s="209">
        <f t="shared" si="66"/>
        <v>3975.6972000000001</v>
      </c>
      <c r="U80" s="209">
        <f t="shared" si="66"/>
        <v>0</v>
      </c>
      <c r="V80" s="209">
        <f t="shared" si="66"/>
        <v>0</v>
      </c>
      <c r="W80" s="209">
        <f t="shared" si="66"/>
        <v>0</v>
      </c>
      <c r="X80" s="209">
        <f t="shared" si="66"/>
        <v>0</v>
      </c>
      <c r="Y80" s="209">
        <f t="shared" si="66"/>
        <v>0</v>
      </c>
      <c r="Z80" s="209">
        <f t="shared" si="66"/>
        <v>0</v>
      </c>
      <c r="AA80" s="209">
        <f t="shared" si="66"/>
        <v>0</v>
      </c>
      <c r="AB80" s="209">
        <f t="shared" si="66"/>
        <v>0</v>
      </c>
      <c r="AC80" s="209">
        <f t="shared" si="66"/>
        <v>0</v>
      </c>
      <c r="AD80" s="209">
        <f t="shared" si="66"/>
        <v>0</v>
      </c>
      <c r="AE80" s="209">
        <f t="shared" si="66"/>
        <v>0</v>
      </c>
      <c r="AF80" s="209">
        <f t="shared" si="66"/>
        <v>0</v>
      </c>
      <c r="AG80" s="210">
        <f t="shared" si="66"/>
        <v>0</v>
      </c>
      <c r="AI80" s="220">
        <f t="shared" si="53"/>
        <v>63611.155200000016</v>
      </c>
    </row>
    <row r="81" spans="1:35" ht="14.45" customHeight="1">
      <c r="A81" s="74" t="s">
        <v>195</v>
      </c>
      <c r="B81" s="75" t="s">
        <v>196</v>
      </c>
      <c r="E81" s="211">
        <f t="shared" si="58"/>
        <v>55.200000000000017</v>
      </c>
      <c r="F81" s="212">
        <f t="shared" ref="F81:AG81" si="67">+F61*F$65</f>
        <v>55.200000000000017</v>
      </c>
      <c r="G81" s="212">
        <f t="shared" si="67"/>
        <v>55.200000000000017</v>
      </c>
      <c r="H81" s="212">
        <f t="shared" si="67"/>
        <v>55.200000000000017</v>
      </c>
      <c r="I81" s="212">
        <f t="shared" si="67"/>
        <v>55.200000000000017</v>
      </c>
      <c r="J81" s="212">
        <f t="shared" si="67"/>
        <v>55.200000000000017</v>
      </c>
      <c r="K81" s="212">
        <f t="shared" si="67"/>
        <v>55.200000000000017</v>
      </c>
      <c r="L81" s="212">
        <f t="shared" si="67"/>
        <v>55.200000000000017</v>
      </c>
      <c r="M81" s="212">
        <f t="shared" si="67"/>
        <v>55.200000000000017</v>
      </c>
      <c r="N81" s="212">
        <f t="shared" si="67"/>
        <v>55.200000000000017</v>
      </c>
      <c r="O81" s="212">
        <f t="shared" si="67"/>
        <v>55.200000000000017</v>
      </c>
      <c r="P81" s="212">
        <f t="shared" si="67"/>
        <v>55.200000000000017</v>
      </c>
      <c r="Q81" s="212">
        <f t="shared" si="67"/>
        <v>55.200000000000017</v>
      </c>
      <c r="R81" s="212">
        <f t="shared" si="67"/>
        <v>55.200000000000017</v>
      </c>
      <c r="S81" s="212">
        <f t="shared" si="67"/>
        <v>55.200000000000017</v>
      </c>
      <c r="T81" s="212">
        <f t="shared" si="67"/>
        <v>55.200000000000017</v>
      </c>
      <c r="U81" s="212">
        <f t="shared" si="67"/>
        <v>0</v>
      </c>
      <c r="V81" s="212">
        <f t="shared" si="67"/>
        <v>0</v>
      </c>
      <c r="W81" s="212">
        <f t="shared" si="67"/>
        <v>0</v>
      </c>
      <c r="X81" s="212">
        <f t="shared" si="67"/>
        <v>0</v>
      </c>
      <c r="Y81" s="212">
        <f t="shared" si="67"/>
        <v>0</v>
      </c>
      <c r="Z81" s="212">
        <f t="shared" si="67"/>
        <v>0</v>
      </c>
      <c r="AA81" s="212">
        <f t="shared" si="67"/>
        <v>0</v>
      </c>
      <c r="AB81" s="212">
        <f t="shared" si="67"/>
        <v>0</v>
      </c>
      <c r="AC81" s="212">
        <f t="shared" si="67"/>
        <v>0</v>
      </c>
      <c r="AD81" s="212">
        <f t="shared" si="67"/>
        <v>0</v>
      </c>
      <c r="AE81" s="212">
        <f t="shared" si="67"/>
        <v>0</v>
      </c>
      <c r="AF81" s="212">
        <f t="shared" si="67"/>
        <v>0</v>
      </c>
      <c r="AG81" s="213">
        <f t="shared" si="67"/>
        <v>0</v>
      </c>
      <c r="AI81" s="221">
        <f t="shared" si="53"/>
        <v>883.20000000000061</v>
      </c>
    </row>
    <row r="82" spans="1:35" ht="14.45" customHeight="1">
      <c r="B82" s="180" t="s">
        <v>227</v>
      </c>
      <c r="C82" s="185"/>
      <c r="E82" s="222">
        <f ca="1">SUM(E68:E81)</f>
        <v>350175.19449729729</v>
      </c>
      <c r="F82" s="222">
        <f t="shared" ref="F82" si="68">SUM(F68:F81)</f>
        <v>12711.894967212787</v>
      </c>
      <c r="G82" s="222">
        <f t="shared" ref="G82" si="69">SUM(G68:G81)</f>
        <v>11822.696451225744</v>
      </c>
      <c r="H82" s="222">
        <f t="shared" ref="H82" si="70">SUM(H68:H81)</f>
        <v>10906.821979759088</v>
      </c>
      <c r="I82" s="222">
        <f t="shared" ref="I82" si="71">SUM(I68:I81)</f>
        <v>9963.4712741484327</v>
      </c>
      <c r="J82" s="222">
        <f t="shared" ref="J82" si="72">SUM(J68:J81)</f>
        <v>8991.8200473694578</v>
      </c>
      <c r="K82" s="222">
        <f t="shared" ref="K82" si="73">SUM(K68:K81)</f>
        <v>7991.0192837871118</v>
      </c>
      <c r="L82" s="222">
        <f t="shared" ref="L82" si="74">SUM(L68:L81)</f>
        <v>6960.1944972972969</v>
      </c>
      <c r="M82" s="222">
        <f t="shared" ref="M82" si="75">SUM(M68:M81)</f>
        <v>24960.1944972973</v>
      </c>
      <c r="N82" s="222">
        <f t="shared" ref="N82" si="76">SUM(N68:N81)</f>
        <v>6960.1944972972969</v>
      </c>
      <c r="O82" s="222">
        <f t="shared" ref="O82" si="77">SUM(O68:O81)</f>
        <v>6960.1944972972969</v>
      </c>
      <c r="P82" s="222">
        <f t="shared" ref="P82" si="78">SUM(P68:P81)</f>
        <v>6960.1944972972969</v>
      </c>
      <c r="Q82" s="222">
        <f t="shared" ref="Q82" si="79">SUM(Q68:Q81)</f>
        <v>6960.1944972972969</v>
      </c>
      <c r="R82" s="222">
        <f t="shared" ref="R82" si="80">SUM(R68:R81)</f>
        <v>6960.1944972972969</v>
      </c>
      <c r="S82" s="222">
        <f t="shared" ref="S82" si="81">SUM(S68:S81)</f>
        <v>6960.1944972972969</v>
      </c>
      <c r="T82" s="222">
        <f t="shared" ref="T82" si="82">SUM(T68:T81)</f>
        <v>6960.1944972972969</v>
      </c>
      <c r="U82" s="222">
        <f t="shared" ref="U82" si="83">SUM(U68:U81)</f>
        <v>0</v>
      </c>
      <c r="V82" s="222">
        <f t="shared" ref="V82" si="84">SUM(V68:V81)</f>
        <v>0</v>
      </c>
      <c r="W82" s="222">
        <f t="shared" ref="W82" si="85">SUM(W68:W81)</f>
        <v>0</v>
      </c>
      <c r="X82" s="222">
        <f t="shared" ref="X82" si="86">SUM(X68:X81)</f>
        <v>0</v>
      </c>
      <c r="Y82" s="222">
        <f t="shared" ref="Y82" si="87">SUM(Y68:Y81)</f>
        <v>0</v>
      </c>
      <c r="Z82" s="222">
        <f t="shared" ref="Z82" si="88">SUM(Z68:Z81)</f>
        <v>0</v>
      </c>
      <c r="AA82" s="222">
        <f t="shared" ref="AA82" si="89">SUM(AA68:AA81)</f>
        <v>0</v>
      </c>
      <c r="AB82" s="222">
        <f t="shared" ref="AB82" si="90">SUM(AB68:AB81)</f>
        <v>0</v>
      </c>
      <c r="AC82" s="222">
        <f t="shared" ref="AC82" si="91">SUM(AC68:AC81)</f>
        <v>0</v>
      </c>
      <c r="AD82" s="222">
        <f t="shared" ref="AD82" si="92">SUM(AD68:AD81)</f>
        <v>0</v>
      </c>
      <c r="AE82" s="222">
        <f t="shared" ref="AE82" si="93">SUM(AE68:AE81)</f>
        <v>0</v>
      </c>
      <c r="AF82" s="222">
        <f t="shared" ref="AF82" si="94">SUM(AF68:AF81)</f>
        <v>0</v>
      </c>
      <c r="AG82" s="222">
        <f t="shared" ref="AG82" si="95">SUM(AG68:AG81)</f>
        <v>0</v>
      </c>
      <c r="AH82" s="184"/>
      <c r="AI82" s="223">
        <f ca="1">+SUM(E82:AG82)</f>
        <v>493204.66897647548</v>
      </c>
    </row>
    <row r="83" spans="1:35" ht="14.45" customHeight="1"/>
    <row r="84" spans="1:35" ht="14.45" customHeight="1"/>
    <row r="85" spans="1:35" ht="14.45" customHeight="1"/>
    <row r="86" spans="1:35" ht="14.45" customHeight="1"/>
    <row r="87" spans="1:35" ht="14.45" customHeight="1"/>
  </sheetData>
  <mergeCells count="20">
    <mergeCell ref="A1:B1"/>
    <mergeCell ref="A3:B3"/>
    <mergeCell ref="A67:B67"/>
    <mergeCell ref="A47:B47"/>
    <mergeCell ref="A68:A72"/>
    <mergeCell ref="A4:AI4"/>
    <mergeCell ref="A6:B6"/>
    <mergeCell ref="A7:A11"/>
    <mergeCell ref="A12:A16"/>
    <mergeCell ref="A17:A19"/>
    <mergeCell ref="A26:B26"/>
    <mergeCell ref="A27:A31"/>
    <mergeCell ref="A32:A36"/>
    <mergeCell ref="A37:A39"/>
    <mergeCell ref="A45:AI45"/>
    <mergeCell ref="A73:A77"/>
    <mergeCell ref="A78:A80"/>
    <mergeCell ref="A48:A52"/>
    <mergeCell ref="A53:A57"/>
    <mergeCell ref="A58:A6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B7C7-ABB2-4F0C-9BBF-5BE017475CDF}">
  <dimension ref="A1"/>
  <sheetViews>
    <sheetView workbookViewId="0"/>
  </sheetViews>
  <sheetFormatPr defaultColWidth="11.42578125" defaultRowHeight="15"/>
  <sheetData>
    <row r="1" customFormat="1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610E25-55EE-4D54-A736-E8E532405C35}"/>
</file>

<file path=customXml/itemProps2.xml><?xml version="1.0" encoding="utf-8"?>
<ds:datastoreItem xmlns:ds="http://schemas.openxmlformats.org/officeDocument/2006/customXml" ds:itemID="{34902EFB-9383-44F1-8CCD-D098E5A33CEC}"/>
</file>

<file path=customXml/itemProps3.xml><?xml version="1.0" encoding="utf-8"?>
<ds:datastoreItem xmlns:ds="http://schemas.openxmlformats.org/officeDocument/2006/customXml" ds:itemID="{B11D569E-0B13-49FE-A899-9992B1D5C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ORTIZ</dc:creator>
  <cp:keywords/>
  <dc:description/>
  <cp:lastModifiedBy>Juan Marquez</cp:lastModifiedBy>
  <cp:revision/>
  <dcterms:created xsi:type="dcterms:W3CDTF">2021-02-04T22:22:20Z</dcterms:created>
  <dcterms:modified xsi:type="dcterms:W3CDTF">2022-03-28T14:49:36Z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